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\NOVA CONTRATAÇÃO LIMPEZA CAMPINA GRANDE\2025\"/>
    </mc:Choice>
  </mc:AlternateContent>
  <xr:revisionPtr revIDLastSave="0" documentId="13_ncr:1_{25D9755B-55A5-4A22-8DB5-3DF460D58AD4}" xr6:coauthVersionLast="47" xr6:coauthVersionMax="47" xr10:uidLastSave="{00000000-0000-0000-0000-000000000000}"/>
  <bookViews>
    <workbookView xWindow="-108" yWindow="-108" windowWidth="23256" windowHeight="12456" tabRatio="500" firstSheet="3" activeTab="4" xr2:uid="{00000000-000D-0000-FFFF-FFFF00000000}"/>
  </bookViews>
  <sheets>
    <sheet name="Planilha1" sheetId="1" state="hidden" r:id="rId1"/>
    <sheet name="SIMULADOR" sheetId="2" r:id="rId2"/>
    <sheet name="ENCARREGADO" sheetId="3" r:id="rId3"/>
    <sheet name="ASG" sheetId="4" r:id="rId4"/>
    <sheet name="COPEIRA" sheetId="5" r:id="rId5"/>
    <sheet name="UNIFORME" sheetId="7" r:id="rId6"/>
    <sheet name="MATERIAL" sheetId="8" r:id="rId7"/>
    <sheet name="EPI" sheetId="9" r:id="rId8"/>
    <sheet name="EQUIPAMENTOS" sheetId="10" r:id="rId9"/>
    <sheet name="INSUMOS COPA" sheetId="11" r:id="rId10"/>
    <sheet name="RESUMO DA PROPOSTA" sheetId="12" r:id="rId11"/>
  </sheets>
  <definedNames>
    <definedName name="_xlnm.Print_Area" localSheetId="3">ASG!$A$1:$D$131</definedName>
    <definedName name="_xlnm.Print_Area" localSheetId="4">COPEIRA!$A$1:$D$131</definedName>
    <definedName name="_xlnm.Print_Area" localSheetId="2">ENCARREGADO!$A$1:$D$131</definedName>
    <definedName name="_xlnm.Print_Area" localSheetId="1">SIMULADOR!$A$1:$H$77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" i="12" l="1"/>
  <c r="L12" i="12" s="1"/>
  <c r="I33" i="8"/>
  <c r="G41" i="8"/>
  <c r="G40" i="8"/>
  <c r="H10" i="11"/>
  <c r="H9" i="11"/>
  <c r="H8" i="11"/>
  <c r="H7" i="11"/>
  <c r="I22" i="10"/>
  <c r="A22" i="10"/>
  <c r="I21" i="10"/>
  <c r="A21" i="10"/>
  <c r="I20" i="10"/>
  <c r="A20" i="10"/>
  <c r="I19" i="10"/>
  <c r="A19" i="10"/>
  <c r="I18" i="10"/>
  <c r="A18" i="10"/>
  <c r="I17" i="10"/>
  <c r="A17" i="10"/>
  <c r="I16" i="10"/>
  <c r="A16" i="10"/>
  <c r="I15" i="10"/>
  <c r="A15" i="10"/>
  <c r="I14" i="10"/>
  <c r="A14" i="10"/>
  <c r="I13" i="10"/>
  <c r="A13" i="10"/>
  <c r="I12" i="10"/>
  <c r="A12" i="10"/>
  <c r="I11" i="10"/>
  <c r="A11" i="10"/>
  <c r="I10" i="10"/>
  <c r="A10" i="10"/>
  <c r="I9" i="10"/>
  <c r="A9" i="10"/>
  <c r="I8" i="10"/>
  <c r="A8" i="10"/>
  <c r="I7" i="10"/>
  <c r="A7" i="10"/>
  <c r="H7" i="9"/>
  <c r="H6" i="9"/>
  <c r="I8" i="9" s="1"/>
  <c r="I38" i="8"/>
  <c r="A38" i="8"/>
  <c r="I37" i="8"/>
  <c r="A37" i="8"/>
  <c r="I36" i="8"/>
  <c r="A36" i="8"/>
  <c r="I35" i="8"/>
  <c r="A35" i="8"/>
  <c r="I34" i="8"/>
  <c r="A34" i="8"/>
  <c r="I32" i="8"/>
  <c r="A32" i="8"/>
  <c r="I31" i="8"/>
  <c r="A31" i="8"/>
  <c r="I30" i="8"/>
  <c r="A30" i="8"/>
  <c r="I29" i="8"/>
  <c r="A29" i="8"/>
  <c r="I28" i="8"/>
  <c r="A28" i="8"/>
  <c r="I27" i="8"/>
  <c r="A27" i="8"/>
  <c r="I26" i="8"/>
  <c r="A26" i="8"/>
  <c r="I25" i="8"/>
  <c r="A25" i="8"/>
  <c r="I24" i="8"/>
  <c r="A24" i="8"/>
  <c r="I23" i="8"/>
  <c r="A23" i="8"/>
  <c r="I22" i="8"/>
  <c r="A22" i="8"/>
  <c r="I21" i="8"/>
  <c r="A21" i="8"/>
  <c r="I20" i="8"/>
  <c r="A20" i="8"/>
  <c r="I19" i="8"/>
  <c r="A19" i="8"/>
  <c r="I18" i="8"/>
  <c r="A18" i="8"/>
  <c r="I17" i="8"/>
  <c r="A17" i="8"/>
  <c r="I16" i="8"/>
  <c r="A16" i="8"/>
  <c r="I15" i="8"/>
  <c r="A15" i="8"/>
  <c r="I14" i="8"/>
  <c r="A14" i="8"/>
  <c r="I13" i="8"/>
  <c r="A13" i="8"/>
  <c r="I12" i="8"/>
  <c r="A12" i="8"/>
  <c r="I11" i="8"/>
  <c r="A11" i="8"/>
  <c r="I10" i="8"/>
  <c r="A10" i="8"/>
  <c r="I9" i="8"/>
  <c r="A9" i="8"/>
  <c r="I8" i="8"/>
  <c r="A8" i="8"/>
  <c r="I7" i="8"/>
  <c r="A7" i="8"/>
  <c r="I6" i="8"/>
  <c r="A6" i="8"/>
  <c r="H18" i="7"/>
  <c r="H17" i="7"/>
  <c r="F16" i="7"/>
  <c r="H16" i="7" s="1"/>
  <c r="F15" i="7"/>
  <c r="H15" i="7" s="1"/>
  <c r="F14" i="7"/>
  <c r="H14" i="7" s="1"/>
  <c r="H7" i="7"/>
  <c r="H6" i="7"/>
  <c r="F5" i="7"/>
  <c r="H5" i="7" s="1"/>
  <c r="F4" i="7"/>
  <c r="H4" i="7" s="1"/>
  <c r="F3" i="7"/>
  <c r="H3" i="7" s="1"/>
  <c r="C114" i="5"/>
  <c r="C113" i="5" s="1"/>
  <c r="C91" i="5"/>
  <c r="C83" i="5"/>
  <c r="C82" i="5"/>
  <c r="C81" i="5"/>
  <c r="C80" i="5"/>
  <c r="C71" i="5"/>
  <c r="C68" i="5"/>
  <c r="D49" i="5"/>
  <c r="D50" i="5" s="1"/>
  <c r="D47" i="5"/>
  <c r="C33" i="5"/>
  <c r="C42" i="5" s="1"/>
  <c r="C28" i="5"/>
  <c r="C27" i="5"/>
  <c r="C26" i="5"/>
  <c r="C25" i="5"/>
  <c r="C18" i="5"/>
  <c r="C124" i="5" s="1"/>
  <c r="C114" i="4"/>
  <c r="C113" i="4" s="1"/>
  <c r="C91" i="4"/>
  <c r="C83" i="4"/>
  <c r="C82" i="4"/>
  <c r="C81" i="4"/>
  <c r="C80" i="4"/>
  <c r="C72" i="4"/>
  <c r="C71" i="4"/>
  <c r="C68" i="4"/>
  <c r="D49" i="4"/>
  <c r="D50" i="4" s="1"/>
  <c r="D47" i="4"/>
  <c r="C42" i="4"/>
  <c r="C84" i="4" s="1"/>
  <c r="C33" i="4"/>
  <c r="C27" i="4"/>
  <c r="C26" i="4"/>
  <c r="C25" i="4"/>
  <c r="C28" i="4" s="1"/>
  <c r="C18" i="4"/>
  <c r="D90" i="4" s="1"/>
  <c r="D91" i="4" s="1"/>
  <c r="C97" i="4" s="1"/>
  <c r="C114" i="3"/>
  <c r="C113" i="3" s="1"/>
  <c r="C91" i="3"/>
  <c r="C83" i="3"/>
  <c r="C82" i="3"/>
  <c r="C81" i="3"/>
  <c r="C80" i="3"/>
  <c r="C71" i="3"/>
  <c r="C69" i="3"/>
  <c r="C68" i="3"/>
  <c r="D49" i="3"/>
  <c r="D50" i="3" s="1"/>
  <c r="D47" i="3"/>
  <c r="C33" i="3"/>
  <c r="C42" i="3" s="1"/>
  <c r="C27" i="3"/>
  <c r="C26" i="3"/>
  <c r="C25" i="3"/>
  <c r="C28" i="3" s="1"/>
  <c r="C18" i="3"/>
  <c r="D26" i="3" s="1"/>
  <c r="E49" i="2"/>
  <c r="E48" i="2"/>
  <c r="E47" i="2"/>
  <c r="E46" i="2"/>
  <c r="E45" i="2"/>
  <c r="G42" i="2"/>
  <c r="G41" i="2"/>
  <c r="G40" i="2"/>
  <c r="G39" i="2"/>
  <c r="G38" i="2"/>
  <c r="G37" i="2"/>
  <c r="G36" i="2"/>
  <c r="G35" i="2"/>
  <c r="C35" i="2"/>
  <c r="G34" i="2"/>
  <c r="C34" i="2"/>
  <c r="G33" i="2"/>
  <c r="C33" i="2"/>
  <c r="G32" i="2"/>
  <c r="C32" i="2"/>
  <c r="G31" i="2"/>
  <c r="C31" i="2"/>
  <c r="G30" i="2"/>
  <c r="C30" i="2"/>
  <c r="G29" i="2"/>
  <c r="C29" i="2"/>
  <c r="G28" i="2"/>
  <c r="C28" i="2"/>
  <c r="C27" i="2"/>
  <c r="C26" i="2"/>
  <c r="C25" i="2"/>
  <c r="C24" i="2"/>
  <c r="C23" i="2"/>
  <c r="C22" i="2"/>
  <c r="C21" i="2"/>
  <c r="F7" i="2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  <c r="C124" i="4" l="1"/>
  <c r="H11" i="11"/>
  <c r="C104" i="5" s="1" a="1"/>
  <c r="D104" i="5" s="1"/>
  <c r="J23" i="10"/>
  <c r="I39" i="8"/>
  <c r="I40" i="8" s="1"/>
  <c r="I41" i="8" s="1"/>
  <c r="H20" i="7"/>
  <c r="H21" i="7" s="1"/>
  <c r="H9" i="7"/>
  <c r="H10" i="7" s="1"/>
  <c r="C103" i="4" s="1"/>
  <c r="C36" i="2"/>
  <c r="F4" i="2" s="1"/>
  <c r="D90" i="5"/>
  <c r="D91" i="5" s="1"/>
  <c r="C97" i="5" s="1"/>
  <c r="D48" i="5"/>
  <c r="D55" i="5" s="1"/>
  <c r="C62" i="5" s="1"/>
  <c r="D27" i="4"/>
  <c r="D25" i="3"/>
  <c r="C124" i="3"/>
  <c r="C72" i="5"/>
  <c r="C84" i="5"/>
  <c r="C85" i="5" s="1"/>
  <c r="C84" i="3"/>
  <c r="C85" i="3" s="1"/>
  <c r="C72" i="3"/>
  <c r="D25" i="5"/>
  <c r="D27" i="3"/>
  <c r="C69" i="4"/>
  <c r="D48" i="3"/>
  <c r="D55" i="3" s="1"/>
  <c r="C62" i="3" s="1"/>
  <c r="D90" i="3"/>
  <c r="D91" i="3" s="1"/>
  <c r="C97" i="3" s="1"/>
  <c r="D25" i="4"/>
  <c r="D26" i="5"/>
  <c r="D26" i="4"/>
  <c r="D27" i="5"/>
  <c r="C85" i="4"/>
  <c r="D48" i="4"/>
  <c r="D55" i="4" s="1"/>
  <c r="C62" i="4" s="1"/>
  <c r="C69" i="5"/>
  <c r="C104" i="5" l="1"/>
  <c r="C106" i="5" s="1"/>
  <c r="C128" i="5" s="1"/>
  <c r="C103" i="5"/>
  <c r="C103" i="3"/>
  <c r="I9" i="9"/>
  <c r="C105" i="4" s="1"/>
  <c r="J24" i="10"/>
  <c r="C104" i="4" s="1"/>
  <c r="C106" i="4"/>
  <c r="C128" i="4" s="1"/>
  <c r="D28" i="4"/>
  <c r="C60" i="4" s="1"/>
  <c r="I42" i="8"/>
  <c r="I46" i="8" s="1"/>
  <c r="I9" i="12" s="1"/>
  <c r="L9" i="12" s="1"/>
  <c r="C74" i="5"/>
  <c r="D28" i="3"/>
  <c r="C60" i="3" s="1"/>
  <c r="D33" i="4"/>
  <c r="C74" i="4"/>
  <c r="C106" i="3"/>
  <c r="C128" i="3" s="1"/>
  <c r="D28" i="5"/>
  <c r="C74" i="3"/>
  <c r="D41" i="4" l="1"/>
  <c r="D33" i="3"/>
  <c r="D41" i="3"/>
  <c r="D42" i="4"/>
  <c r="C61" i="4" s="1"/>
  <c r="C63" i="4" s="1"/>
  <c r="C60" i="5"/>
  <c r="D41" i="5"/>
  <c r="D33" i="5"/>
  <c r="D42" i="5" s="1"/>
  <c r="C61" i="5" s="1"/>
  <c r="D42" i="3" l="1"/>
  <c r="C61" i="3" s="1"/>
  <c r="C63" i="3" s="1"/>
  <c r="D70" i="3" s="1"/>
  <c r="C63" i="5"/>
  <c r="C125" i="4"/>
  <c r="D71" i="4"/>
  <c r="D73" i="4"/>
  <c r="D72" i="4"/>
  <c r="D68" i="4"/>
  <c r="D70" i="4"/>
  <c r="D69" i="4"/>
  <c r="D74" i="4" l="1"/>
  <c r="C126" i="4" s="1"/>
  <c r="D73" i="3"/>
  <c r="C125" i="3"/>
  <c r="D69" i="3"/>
  <c r="D72" i="3"/>
  <c r="D68" i="3"/>
  <c r="D71" i="3"/>
  <c r="C125" i="5"/>
  <c r="D73" i="5"/>
  <c r="D71" i="5"/>
  <c r="D70" i="5"/>
  <c r="D68" i="5"/>
  <c r="D69" i="5"/>
  <c r="D72" i="5"/>
  <c r="D74" i="5" l="1"/>
  <c r="D83" i="4"/>
  <c r="D84" i="4"/>
  <c r="D81" i="4"/>
  <c r="D80" i="4"/>
  <c r="D82" i="4"/>
  <c r="D74" i="3"/>
  <c r="C126" i="5" l="1"/>
  <c r="D83" i="5"/>
  <c r="D81" i="5"/>
  <c r="D80" i="5"/>
  <c r="D84" i="5"/>
  <c r="D82" i="5"/>
  <c r="D85" i="4"/>
  <c r="C96" i="4" s="1"/>
  <c r="C98" i="4" s="1"/>
  <c r="C127" i="4" s="1"/>
  <c r="C129" i="4" s="1"/>
  <c r="D111" i="4" s="1"/>
  <c r="C126" i="3"/>
  <c r="D84" i="3"/>
  <c r="D82" i="3"/>
  <c r="D80" i="3"/>
  <c r="D83" i="3"/>
  <c r="D81" i="3"/>
  <c r="D85" i="5" l="1"/>
  <c r="C96" i="5" s="1"/>
  <c r="C98" i="5" s="1"/>
  <c r="C127" i="5" s="1"/>
  <c r="C129" i="5" s="1"/>
  <c r="D111" i="5" s="1"/>
  <c r="D112" i="5" s="1"/>
  <c r="D112" i="4"/>
  <c r="D113" i="4" s="1"/>
  <c r="D119" i="4" s="1"/>
  <c r="C130" i="4" s="1"/>
  <c r="C131" i="4" s="1"/>
  <c r="G4" i="2" s="1"/>
  <c r="D85" i="3"/>
  <c r="C96" i="3" s="1"/>
  <c r="C98" i="3" s="1"/>
  <c r="C127" i="3" s="1"/>
  <c r="C129" i="3" s="1"/>
  <c r="D111" i="3" s="1"/>
  <c r="D113" i="5" l="1"/>
  <c r="D119" i="5" s="1"/>
  <c r="C130" i="5" s="1"/>
  <c r="C131" i="5" s="1"/>
  <c r="I11" i="12" s="1"/>
  <c r="C16" i="2"/>
  <c r="G23" i="2" s="1"/>
  <c r="C8" i="2"/>
  <c r="G15" i="2" s="1"/>
  <c r="C10" i="2"/>
  <c r="G17" i="2" s="1"/>
  <c r="C7" i="2"/>
  <c r="G14" i="2" s="1"/>
  <c r="C6" i="2"/>
  <c r="G13" i="2" s="1"/>
  <c r="C17" i="2"/>
  <c r="G24" i="2" s="1"/>
  <c r="G48" i="2" s="1"/>
  <c r="F48" i="2" s="1"/>
  <c r="C13" i="2"/>
  <c r="G20" i="2" s="1"/>
  <c r="C18" i="2"/>
  <c r="G25" i="2" s="1"/>
  <c r="G49" i="2" s="1"/>
  <c r="F49" i="2" s="1"/>
  <c r="C9" i="2"/>
  <c r="G16" i="2" s="1"/>
  <c r="C15" i="2"/>
  <c r="G22" i="2" s="1"/>
  <c r="C11" i="2"/>
  <c r="G18" i="2" s="1"/>
  <c r="C5" i="2"/>
  <c r="G12" i="2" s="1"/>
  <c r="C14" i="2"/>
  <c r="G21" i="2" s="1"/>
  <c r="C12" i="2"/>
  <c r="G19" i="2" s="1"/>
  <c r="C4" i="2"/>
  <c r="G11" i="2" s="1"/>
  <c r="D112" i="3"/>
  <c r="D113" i="3" s="1"/>
  <c r="D119" i="3" s="1"/>
  <c r="C130" i="3" s="1"/>
  <c r="C131" i="3" s="1"/>
  <c r="L11" i="12" l="1"/>
  <c r="G6" i="2"/>
  <c r="G51" i="2"/>
  <c r="G45" i="2"/>
  <c r="F45" i="2" s="1"/>
  <c r="G47" i="2"/>
  <c r="G46" i="2"/>
  <c r="F46" i="2" s="1"/>
  <c r="G52" i="2" l="1"/>
  <c r="I8" i="12" s="1"/>
  <c r="L8" i="12" s="1"/>
  <c r="L10" i="12" s="1"/>
  <c r="G5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MGMdA</author>
  </authors>
  <commentList>
    <comment ref="B2" authorId="0" shapeId="0" xr:uid="{00000000-0006-0000-0000-000001000000}">
      <text>
        <r>
          <rPr>
            <b/>
            <sz val="12"/>
            <color rgb="FF000000"/>
            <rFont val="Segoe UI"/>
            <family val="2"/>
            <charset val="1"/>
          </rPr>
          <t>Definir as áreas "adaptando" para a sua estratégia.</t>
        </r>
      </text>
    </comment>
    <comment ref="C2" authorId="0" shapeId="0" xr:uid="{00000000-0006-0000-0000-000002000000}">
      <text>
        <r>
          <rPr>
            <b/>
            <sz val="12"/>
            <color rgb="FF000000"/>
            <rFont val="Segoe UI"/>
            <family val="2"/>
            <charset val="1"/>
          </rPr>
          <t>Definir as áreas "adaptando" para a sua estratégia.</t>
        </r>
      </text>
    </comment>
    <comment ref="D2" authorId="0" shapeId="0" xr:uid="{00000000-0006-0000-0000-000004000000}">
      <text>
        <r>
          <rPr>
            <b/>
            <sz val="12"/>
            <color rgb="FF000000"/>
            <rFont val="Segoe UI"/>
            <family val="2"/>
            <charset val="1"/>
          </rPr>
          <t>Definir as áreas "adaptando" para a sua estratégia.</t>
        </r>
      </text>
    </comment>
    <comment ref="E2" authorId="0" shapeId="0" xr:uid="{00000000-0006-0000-0000-000005000000}">
      <text>
        <r>
          <rPr>
            <b/>
            <sz val="12"/>
            <color rgb="FF000000"/>
            <rFont val="Segoe UI"/>
            <family val="2"/>
            <charset val="1"/>
          </rPr>
          <t>Definir as áreas "adaptando" para a sua estratégia.</t>
        </r>
      </text>
    </comment>
    <comment ref="C3" authorId="0" shapeId="0" xr:uid="{00000000-0006-0000-0000-000003000000}">
      <text>
        <r>
          <rPr>
            <b/>
            <sz val="12"/>
            <color rgb="FF000000"/>
            <rFont val="Segoe UI"/>
            <family val="2"/>
            <charset val="1"/>
          </rPr>
          <t>O intervalo dessas produtividades estão definidos na IN 05/2017. Se tornam relativos uma vez que a área definida pode ser manipulada conforme a estratégia  de sua gestão e pode não configurar a produtividade que os ASGs executarão na realidade.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MGMdA</author>
  </authors>
  <commentList>
    <comment ref="A1" authorId="0" shapeId="0" xr:uid="{00000000-0006-0000-0100-000001000000}">
      <text>
        <r>
          <rPr>
            <b/>
            <sz val="12"/>
            <color rgb="FF000000"/>
            <rFont val="Segoe UI"/>
            <family val="2"/>
            <charset val="1"/>
          </rPr>
          <t>Preencher apenas as células verdes com borda vermelha!</t>
        </r>
      </text>
    </comment>
    <comment ref="B3" authorId="0" shapeId="0" xr:uid="{00000000-0006-0000-0100-000002000000}">
      <text>
        <r>
          <rPr>
            <b/>
            <sz val="12"/>
            <color rgb="FF000000"/>
            <rFont val="Segoe UI"/>
            <family val="2"/>
            <charset val="1"/>
          </rPr>
          <t xml:space="preserve">Definir as áreas "adaptando" para a sua estratégia.
</t>
        </r>
      </text>
    </comment>
  </commentList>
</comments>
</file>

<file path=xl/sharedStrings.xml><?xml version="1.0" encoding="utf-8"?>
<sst xmlns="http://schemas.openxmlformats.org/spreadsheetml/2006/main" count="899" uniqueCount="336">
  <si>
    <t>ÁREAS DE LIMPEZA E ASSEIO</t>
  </si>
  <si>
    <t>ÁREA</t>
  </si>
  <si>
    <t>PRODUTIVIDADE</t>
  </si>
  <si>
    <t>VALOR R$/M2</t>
  </si>
  <si>
    <t>VALOR TOTAL</t>
  </si>
  <si>
    <t>A1. PISO ACARPETADO</t>
  </si>
  <si>
    <t>A2. PISO FRIO</t>
  </si>
  <si>
    <t>A3. LABORATÓRIO</t>
  </si>
  <si>
    <t>A4. ALMOX/GALPÃO</t>
  </si>
  <si>
    <t>A5. OFICINA</t>
  </si>
  <si>
    <t>A6. SAGUÕES / SALÕES</t>
  </si>
  <si>
    <t>A7. BANHEIROS</t>
  </si>
  <si>
    <t>B1. PAVIMENTAÇÃO ADJACENTE</t>
  </si>
  <si>
    <t>B2. PASSEIO / RUAS</t>
  </si>
  <si>
    <t>B3. ÁREAS VERDES</t>
  </si>
  <si>
    <t>C1. ESQUADRIAS EXTERNAS COM RISCO</t>
  </si>
  <si>
    <t>C2. ESQUADRIA EXTERNA SEM RISCO</t>
  </si>
  <si>
    <t>C3. ESQUADRIAS INTERNAS</t>
  </si>
  <si>
    <t>CALCULADORA PARA CONTRATAÇÃO DE SERVIÇO TERCEIRIZADO DE LIMPEZA COM MÃO DE OBRA DEDICADA</t>
  </si>
  <si>
    <t>ÁREAS DE LIMPEZA E ASSEIO - ASG</t>
  </si>
  <si>
    <t>ÁREA DEFINIDA</t>
  </si>
  <si>
    <t>VALOR R$/M²</t>
  </si>
  <si>
    <t>RESUMO DA QUANTIDADE E CUSTO DA MÃO DE OBRA</t>
  </si>
  <si>
    <t>A1. PISOS ACARPETADOS</t>
  </si>
  <si>
    <t>A. Valor ASG Mês</t>
  </si>
  <si>
    <t>A2. PISOS FRIOS</t>
  </si>
  <si>
    <r>
      <rPr>
        <sz val="11"/>
        <color rgb="FF000000"/>
        <rFont val="Calibri"/>
        <family val="2"/>
        <charset val="1"/>
      </rPr>
      <t xml:space="preserve">B. Valor ASG </t>
    </r>
    <r>
      <rPr>
        <u/>
        <sz val="11"/>
        <color rgb="FF000000"/>
        <rFont val="Calibri"/>
        <family val="2"/>
        <charset val="1"/>
      </rPr>
      <t>INSALUBRE</t>
    </r>
    <r>
      <rPr>
        <sz val="11"/>
        <color rgb="FF000000"/>
        <rFont val="Calibri"/>
        <family val="2"/>
        <charset val="1"/>
      </rPr>
      <t xml:space="preserve"> Mês</t>
    </r>
  </si>
  <si>
    <t>A3. LABORATÓRIOS</t>
  </si>
  <si>
    <t>C. Valor Encarregado de Turma</t>
  </si>
  <si>
    <t>A4. ALMOXARIFADOS/GALPÕES</t>
  </si>
  <si>
    <t>D. Valor do Supervisor de Turma</t>
  </si>
  <si>
    <t>A5. OFICINAS</t>
  </si>
  <si>
    <t>A6. ÁREAS COM ESPAÇOS LIVRES (SAGUÃO, HALL E SALÃO)</t>
  </si>
  <si>
    <t>VALORES POR ÁREA - ASG</t>
  </si>
  <si>
    <t>B1. PISOS PAVIMENTADOS ADJACENTES/CONTÍGUOS ÀS EDIFICAÇÕES</t>
  </si>
  <si>
    <t>R01. VL m² A1 x A</t>
  </si>
  <si>
    <t>B2. VARRIÇÃO DE PASSEIOS E ARRUAMENTOS</t>
  </si>
  <si>
    <t>R02. VL m² A2 x A</t>
  </si>
  <si>
    <t>R03. VL m² A3 x A</t>
  </si>
  <si>
    <t>C1. ESQUADRIAS FACE EXTERNAS COM EXPOSIÇÃO A SITUAÇÃO DE RISCO</t>
  </si>
  <si>
    <t>R04. VL m² A4 x A</t>
  </si>
  <si>
    <t>C2. ESQUADRIAS FACE EXTERNAS SEM EXPOSIÇÃO A SITUAÇÃO DE RISCO</t>
  </si>
  <si>
    <t>R05. VL m² A5 x A</t>
  </si>
  <si>
    <t>C3. ESQUADRIAS FACE INTERNAS</t>
  </si>
  <si>
    <t>R06. VL m² A6 x A</t>
  </si>
  <si>
    <t>D1. FACHADAS ENVIDRAÇADAS</t>
  </si>
  <si>
    <t>R07. VL m² A7 x A</t>
  </si>
  <si>
    <t>E1. ÁREAS HOSPITALARES E ASSEMELHADAS</t>
  </si>
  <si>
    <t>R08. VL m² B1 x A</t>
  </si>
  <si>
    <t>R09. VL m² B2 x A</t>
  </si>
  <si>
    <t>VARIÁVEIS - PRODUTIVIDADE ASGs</t>
  </si>
  <si>
    <t>QTDE</t>
  </si>
  <si>
    <t>R10. VL m² B3 x A</t>
  </si>
  <si>
    <t>PRODUTIVIDADE A1 (800 a 1.200) EM M²</t>
  </si>
  <si>
    <t>R11. VL m² C1 x A</t>
  </si>
  <si>
    <t>PRODUTIVIDADE A2 (800 a 1.200) EM M²</t>
  </si>
  <si>
    <t>R12. VL m² C2 x A</t>
  </si>
  <si>
    <t>PRODUTIVIDADE A3 (360 a 450) EM M²</t>
  </si>
  <si>
    <t>R13. VL m² C3 x A</t>
  </si>
  <si>
    <t>PRODUTIVIDADE A4 (1.500 a 2.500) EM M²</t>
  </si>
  <si>
    <t>R14. VL m² C3 x A</t>
  </si>
  <si>
    <t>PRODUTIVIDADE A5 (1.200 a 1.800) EM M²</t>
  </si>
  <si>
    <t>R15. VL m² C3 x A</t>
  </si>
  <si>
    <t>PRODUTIVIDADE A6 (1.000  a 1.500) EM M²</t>
  </si>
  <si>
    <t>PRODUTIVIDADE A7 (200 a 300) EM M²</t>
  </si>
  <si>
    <t>VALORES POR ÁREA - ENCARREGADO</t>
  </si>
  <si>
    <t>PRODUTIVIDADE B1 (1.800 a 2.700) EM M²</t>
  </si>
  <si>
    <t>PRODUTIVIDADE B2 (6.000 a 9.000) EM M²</t>
  </si>
  <si>
    <t>PRODUTIVIDADE B3 (1.800 a 2.700) EM M²</t>
  </si>
  <si>
    <t>PRODUTIVIDADE C1 (130 a 160) EM M²</t>
  </si>
  <si>
    <t>PRODUTIVIDADE C2 (300 a 380) EM M²</t>
  </si>
  <si>
    <t>PRODUTIVIDADE C3 (300 a 380) EM M²</t>
  </si>
  <si>
    <t>PRODUTIVIDADE D1 (130 a 160) EM M²</t>
  </si>
  <si>
    <t>PRODUTIVIDADE E1 (360 a 450) EM M²</t>
  </si>
  <si>
    <t>HOMENS EM FUNÇÃO DA ÁREA DEFINIDA / PRODUTIVIDADE</t>
  </si>
  <si>
    <t>SOMA DAS:</t>
  </si>
  <si>
    <t>V. MÉD M² EM R$</t>
  </si>
  <si>
    <t>CUSTO DA ÁREA EM R$</t>
  </si>
  <si>
    <t>CUSTO MENSAL DO ENCARREGADO</t>
  </si>
  <si>
    <t>TOTAL MENSAL</t>
  </si>
  <si>
    <t>TOTAL PERÍODO (12 MESES)</t>
  </si>
  <si>
    <t>PLANILHA DE CUSTOS E FORMAÇÃO DE PREÇOS</t>
  </si>
  <si>
    <t>MODELO PARA A CONSOLIDAÇÃO E APRESENTAÇÃO DE PROPOSTAS</t>
  </si>
  <si>
    <t>Com ajustes após publicação da Lei n° 13.467, de 2017.</t>
  </si>
  <si>
    <t>Nº de Reg. Da CCT</t>
  </si>
  <si>
    <t>Data de Vigência da CCT</t>
  </si>
  <si>
    <t>Módulo 1 -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</si>
  <si>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</si>
  <si>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</si>
  <si>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</si>
  <si>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</si>
  <si>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</si>
  <si>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</si>
  <si>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</si>
  <si>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</si>
  <si>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</si>
  <si>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</si>
  <si>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</si>
  <si>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</si>
  <si>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 xml:space="preserve">F </t>
  </si>
  <si>
    <t>Adicional de Hora Extra - feriado trabalhado</t>
  </si>
  <si>
    <t>G</t>
  </si>
  <si>
    <t>Gratificação</t>
  </si>
  <si>
    <t>Total</t>
  </si>
  <si>
    <t>Módulo 2 - Encargos e Benefícios (Anuais, Mensais e Diários)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</si>
  <si>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</si>
  <si>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</si>
  <si>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</si>
  <si>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</si>
  <si>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</si>
  <si>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</si>
  <si>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</si>
  <si>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</si>
  <si>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</si>
  <si>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</si>
  <si>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GPS</t>
  </si>
  <si>
    <t>A.1</t>
  </si>
  <si>
    <t>INSS</t>
  </si>
  <si>
    <t>A.2</t>
  </si>
  <si>
    <t>SALÁRIO EDUCAÇÃO</t>
  </si>
  <si>
    <t>A.3</t>
  </si>
  <si>
    <t>SAT</t>
  </si>
  <si>
    <t>A.4</t>
  </si>
  <si>
    <t>SESC ou SESI</t>
  </si>
  <si>
    <t>A.5</t>
  </si>
  <si>
    <t>SENAI - SENAC</t>
  </si>
  <si>
    <t>A.6</t>
  </si>
  <si>
    <t>SEBRAE</t>
  </si>
  <si>
    <t>A.7</t>
  </si>
  <si>
    <t>INCRA</t>
  </si>
  <si>
    <t>FGTS</t>
  </si>
  <si>
    <t xml:space="preserve">Total </t>
  </si>
  <si>
    <t>Submódulo 2.3 - Benefícios Mensais e Diários.</t>
  </si>
  <si>
    <t>2.3</t>
  </si>
  <si>
    <t>Benefícios Mensais e Diários</t>
  </si>
  <si>
    <t>Auxílio Transporte</t>
  </si>
  <si>
    <t>Desconto Auxílio Transporte</t>
  </si>
  <si>
    <t>Auxílio-Refeição/Alimentação</t>
  </si>
  <si>
    <t>Desconto Auxílio-Refeição/Alimentação</t>
  </si>
  <si>
    <t>Benefício Odontológico</t>
  </si>
  <si>
    <t>F</t>
  </si>
  <si>
    <t>Auxíio Funeral</t>
  </si>
  <si>
    <t>Seguro de Vida</t>
  </si>
  <si>
    <t>H</t>
  </si>
  <si>
    <t>Plano de Assistência Familiar e Social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</si>
  <si>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</si>
  <si>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</si>
  <si>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</si>
  <si>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</si>
  <si>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</si>
  <si>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</si>
  <si>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</si>
  <si>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</si>
  <si>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</si>
  <si>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</si>
  <si>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</si>
  <si>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</si>
  <si>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</si>
  <si>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</si>
  <si>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Ausençia por Doença</t>
  </si>
  <si>
    <t>Licença Paternidade/Maternidade</t>
  </si>
  <si>
    <t>Ausençias Legais</t>
  </si>
  <si>
    <t>Acidente trabalho</t>
  </si>
  <si>
    <t>Submódulo 4.2 - Intrajornada</t>
  </si>
  <si>
    <t>4.2</t>
  </si>
  <si>
    <t xml:space="preserve">Substituto na Intrajornada 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</si>
  <si>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</si>
  <si>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</si>
  <si>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</si>
  <si>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</si>
  <si>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</si>
  <si>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</si>
  <si>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</si>
  <si>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Uniformes - calça, camisa, tênis, meia, boné, crachá</t>
  </si>
  <si>
    <t>Materiais</t>
  </si>
  <si>
    <t>Outros (EPI's e EPC's)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</si>
  <si>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</si>
  <si>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</si>
  <si>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</si>
  <si>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</si>
  <si>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</si>
  <si>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</si>
  <si>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</si>
  <si>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Tributos Federais (COFINS)</t>
  </si>
  <si>
    <t>Tributos Federais (PIS)</t>
  </si>
  <si>
    <t>C.2</t>
  </si>
  <si>
    <t>Tributos Estaduais (especificar)</t>
  </si>
  <si>
    <t>C.3</t>
  </si>
  <si>
    <t>Tributos Municipais (ISS)</t>
  </si>
  <si>
    <t>2. 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</si>
  <si>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</si>
  <si>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</si>
  <si>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</si>
  <si>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Subtotal (A + B +C+ D+E)</t>
  </si>
  <si>
    <t>Módulo 6 – Custos Indiretos, Tributos e Lucro</t>
  </si>
  <si>
    <t xml:space="preserve">Valor Total por Empregado </t>
  </si>
  <si>
    <t xml:space="preserve">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</si>
  <si>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>Outros (especificar)</t>
  </si>
  <si>
    <t xml:space="preserve">Uniformes </t>
  </si>
  <si>
    <t>EPI</t>
  </si>
  <si>
    <t>Insumos - COPA</t>
  </si>
  <si>
    <t>LISTA DE UNIFORMES - AUXILIAR DE SERVIÇOS GERAIS</t>
  </si>
  <si>
    <t xml:space="preserve">N°       </t>
  </si>
  <si>
    <t>ITEM</t>
  </si>
  <si>
    <t>UNID</t>
  </si>
  <si>
    <t>PERÍODO</t>
  </si>
  <si>
    <t>QTD POR PERIODO</t>
  </si>
  <si>
    <t>QTD POR 12 MESES</t>
  </si>
  <si>
    <t>PREÇO UNIT MÉDIO</t>
  </si>
  <si>
    <t>PREÇO TOTAL ANUAL</t>
  </si>
  <si>
    <t>CALÇA EM BRIM COM ELÁSTICO NA CINTURA</t>
  </si>
  <si>
    <t>UND</t>
  </si>
  <si>
    <t>SEMESTRAL</t>
  </si>
  <si>
    <t xml:space="preserve">CAMISA OU CAMISETAS, MANGA CURTA COM A LOGOMARCA DA EMPRESA </t>
  </si>
  <si>
    <t>SAPATO TIPO BABUCH SOFT WORK</t>
  </si>
  <si>
    <t>PAR</t>
  </si>
  <si>
    <t>MEIA EM ALGODÃO NA COR BRANCA</t>
  </si>
  <si>
    <t>CRACHÁ DE IDENTIFICAÇÃO COM FOTO</t>
  </si>
  <si>
    <t>VALOR TOTAL ANUAL =</t>
  </si>
  <si>
    <t>VALOR TOTAL MENSAL =</t>
  </si>
  <si>
    <t>LISTA DE UNIFORMES - COPEIRA E ENCARREGADO (SEXO FEMININO)</t>
  </si>
  <si>
    <t>BLUSA EM ALGODÃO COM BOTÕES NA FRENTE - COM LOGOMARCA DA EMPRESA - COR A DEFINIR</t>
  </si>
  <si>
    <t>CALÇA SOCIAL NA COR PRETA</t>
  </si>
  <si>
    <t>SAPATILHA SOCIAL - NA COR PRETA</t>
  </si>
  <si>
    <t xml:space="preserve">COLETE TIPO "CARDIGAN" - NA COR PRETA - COM LOGOMARCA DA EMPRESA </t>
  </si>
  <si>
    <t>ENTREGA ESTIMADA MENSAL</t>
  </si>
  <si>
    <t>Item</t>
  </si>
  <si>
    <t>Descrição</t>
  </si>
  <si>
    <t>Unidade de Medida</t>
  </si>
  <si>
    <t>Quantidade mensal</t>
  </si>
  <si>
    <t>Marca</t>
  </si>
  <si>
    <t>Valor Unitário</t>
  </si>
  <si>
    <t>Valor Total</t>
  </si>
  <si>
    <t>ÁCIDO MURIÁTICO - EMBALAGEM COM 1 LITRO</t>
  </si>
  <si>
    <t>LITRO</t>
  </si>
  <si>
    <t>ÁGUA SANITÁRIA - EMBALAGEM COM 1 LITRO</t>
  </si>
  <si>
    <t>BALDE PLÁSTICO COM ALÇA - CAPACIDADE  10 LITROS</t>
  </si>
  <si>
    <t>DESINFETANTE - EMBALAGEM COM 1 LITRO</t>
  </si>
  <si>
    <t>PASTILHA SANITÁRIA ADESIVA - EMBALAGEM COM 3 UNIDADES</t>
  </si>
  <si>
    <t>CAIXA</t>
  </si>
  <si>
    <t>POLIDOR DE ALUMÍNIO - EMBALAGEM COM 500ML</t>
  </si>
  <si>
    <t>UNIDADE</t>
  </si>
  <si>
    <t>COADOR PARA MÁQUINA DE CAFÉ</t>
  </si>
  <si>
    <t>ESPONJA DUPLA FACE DE 99X69X19 mm</t>
  </si>
  <si>
    <t>FLANELA BRANCA DE 30X50 cm</t>
  </si>
  <si>
    <t>LIMPADOR MULTIUSO - EMBALAGEM COM 500ML</t>
  </si>
  <si>
    <t>BORRIFADOR - CAPACIDADE 500ML</t>
  </si>
  <si>
    <t>PAPEL TOALHA INTERFOLHADO, NA COR BRANCA</t>
  </si>
  <si>
    <t>PACOTE C/ 1000 fls.</t>
  </si>
  <si>
    <t>PAPEL TOALHA EM ROLO, NA COR BRANCA</t>
  </si>
  <si>
    <t>PACOTE C/ 02 UND</t>
  </si>
  <si>
    <t>RODO COM CABO DE MADEIRA - 30 cm</t>
  </si>
  <si>
    <t>SABÃO EM BARRA - 200 Gramas</t>
  </si>
  <si>
    <t>SABÃO EM PÓ – 500 Gramas</t>
  </si>
  <si>
    <t>DETERGENTE NEUTRO</t>
  </si>
  <si>
    <t>500 ML</t>
  </si>
  <si>
    <t xml:space="preserve">SABONETE LÍQUIDO - EMBALAGEM COM 5 LITROS </t>
  </si>
  <si>
    <t>BOMBONA</t>
  </si>
  <si>
    <t>PACOTE COM 100UNDS</t>
  </si>
  <si>
    <t>VASSOURA DE PELO COM CABO DE MADEIRA - 30 cm</t>
  </si>
  <si>
    <t>VASSOURA PIAÇAVA COM CABO DE MADEIRA - 30CM</t>
  </si>
  <si>
    <t>VASSOURA PARA LIMPEZA VASO SANITÁRIO</t>
  </si>
  <si>
    <t>ESPONJA EM AÇO PACOTE COM 8 UNIDADES</t>
  </si>
  <si>
    <t>INSETICIDA SPRAY</t>
  </si>
  <si>
    <t>PANO EM ALGODÃO PARA LIMPEZA CHÃO - ALVEJADO</t>
  </si>
  <si>
    <t>LUSTRA MÓVEIS - EMBALAGEM COM 200GRS</t>
  </si>
  <si>
    <t>LIMPA VIDRO - EMBALAGEM COM 500ML</t>
  </si>
  <si>
    <t>PANO PARA PRATO</t>
  </si>
  <si>
    <t xml:space="preserve">TOTAL MENSAL </t>
  </si>
  <si>
    <t>CUSTOS INDIRETOS</t>
  </si>
  <si>
    <t>LUCRO</t>
  </si>
  <si>
    <t>TRIBUTOS</t>
  </si>
  <si>
    <t>COFINS</t>
  </si>
  <si>
    <t>PIS</t>
  </si>
  <si>
    <t>ISS</t>
  </si>
  <si>
    <t xml:space="preserve">TOTAL </t>
  </si>
  <si>
    <t xml:space="preserve">0BSERVAÇÃO 1: O Fiscal do Contrato, deverá apresentar a relação das necessidades de material e insumos para o mês subsequente até o dia 15 do mês vigente </t>
  </si>
  <si>
    <t xml:space="preserve">ENTREGA ESTIMADA MENSAL </t>
  </si>
  <si>
    <t>Luva em tricô pigmentada na palma da mão</t>
  </si>
  <si>
    <t>Luva de borracha - tamanhos M e G</t>
  </si>
  <si>
    <t>VALOR MENSAL POR ASG</t>
  </si>
  <si>
    <t>EQUIPAMENTOS</t>
  </si>
  <si>
    <t>ENTREGA INÍCIO DO CONTRATO</t>
  </si>
  <si>
    <t>Vida útil (meses)</t>
  </si>
  <si>
    <t>Máquina de café industrial 220V, com 1 (UM) depósito de 10 litros, corpo em aço inox, torneira com sistema de proteção contra vazamentos e entupimentos, aquecimento por resistência elétrica, termostato regulável, acompanhado de 1 (uma) tampa, saco coador e aro coador, referência "Universal" ou similar</t>
  </si>
  <si>
    <t xml:space="preserve"> 
Carro bandeja, com 4 rodízios giratórios, com alça - Cada bandeja suporta 36 Kg (aproximadamente) - Distância entre bandejas - (+/-) 35 cm </t>
  </si>
  <si>
    <t xml:space="preserve">Aspirador de pó </t>
  </si>
  <si>
    <t>Máquina lava jato pressão - 1.300 libras ou superior</t>
  </si>
  <si>
    <t>Mangueira trançada com 50metros</t>
  </si>
  <si>
    <t>Enxada</t>
  </si>
  <si>
    <t>Pá grande</t>
  </si>
  <si>
    <t>Carro de mão</t>
  </si>
  <si>
    <t>Escada em alumínio com 05 degraus</t>
  </si>
  <si>
    <t>Vassoura ancinho com 22 dentes</t>
  </si>
  <si>
    <t>Aparador de grama 1500w</t>
  </si>
  <si>
    <t>Tesoura para grama</t>
  </si>
  <si>
    <t>Facão para mato 10 polegadas</t>
  </si>
  <si>
    <t>Bomba pulverizadora 5 litros</t>
  </si>
  <si>
    <t>Carro de limpeza multifuncional</t>
  </si>
  <si>
    <t>Balde dobô 30 litros com cabo telescópico</t>
  </si>
  <si>
    <t xml:space="preserve">INSUMOS </t>
  </si>
  <si>
    <t>Café, tipo torrado, apresentação moído, tipo de embalagem a vácuo puro, condicionado em embalagem aluminizada, validade de prazo mínimo de 1 ano, normas técnicas laudo de classificação de café feito pela ABIC, sendo extra forte. (SÃO BRAZ, MELLITA, SANTA CLARA PREMIUM)</t>
  </si>
  <si>
    <t>PACOTE COM 250GRS</t>
  </si>
  <si>
    <t>Açúcar, tipo cristal, origem vegetal, sacarose de cana de açúcar, aplicação adoçante, característica adicional de 1ª qualidade.</t>
  </si>
  <si>
    <t>PACOTE COM 1KG</t>
  </si>
  <si>
    <t>Adoçante, tipo liquido límpido transparente, ingredientes: água, edulcorantes artificiais, quais sejam: ciclamato de sódio, sucarina sódica e acesulfame de potássio; conservantes: metilparabeno e propilparabeno; acidulante: acido cítrico tipo dietético, com bico dosador (100ml).</t>
  </si>
  <si>
    <t xml:space="preserve">Gás GLP 13kg </t>
  </si>
  <si>
    <t>VALOR TOTAL MENSAL</t>
  </si>
  <si>
    <t>0BSERVAÇÃO 1: O Fiscal do Contrato, deverá apresentar a relação das necessidades de material e insumos para o mês subsequente até o dia 15 do mês vigente</t>
  </si>
  <si>
    <t>RESUMO DA CONTRATAÇÃO</t>
  </si>
  <si>
    <t>DESCRIÇÃO DO ITEM</t>
  </si>
  <si>
    <t>Nº DE POSTOS</t>
  </si>
  <si>
    <t xml:space="preserve">VALOR MENSAL </t>
  </si>
  <si>
    <t xml:space="preserve">VALOR ANUAL </t>
  </si>
  <si>
    <t>GRUPO 1</t>
  </si>
  <si>
    <t>Serviços de Limpeza, asseio e conservação</t>
  </si>
  <si>
    <t>m²</t>
  </si>
  <si>
    <t>Serviço de Copeiragem</t>
  </si>
  <si>
    <t>ENCARREGADO</t>
  </si>
  <si>
    <t>AUXILIAR DE SERVIÇOS GERAIS</t>
  </si>
  <si>
    <t>COPEIRA</t>
  </si>
  <si>
    <t>PB00164/2024</t>
  </si>
  <si>
    <t>01/01/2024 A 31/12/2024</t>
  </si>
  <si>
    <t>PB000164/2024</t>
  </si>
  <si>
    <t>PAPEL HIGIÊNICO EM ROLO</t>
  </si>
  <si>
    <t>PACOTE COM 4 ROLOS</t>
  </si>
  <si>
    <t>SACO PARA LIXO - 100 LITROS NA COR PRETA</t>
  </si>
  <si>
    <t>SACO PARA LIXO - 200 LITROS</t>
  </si>
  <si>
    <t xml:space="preserve"> MATERIAL</t>
  </si>
  <si>
    <r>
      <t xml:space="preserve">Salário-Base </t>
    </r>
    <r>
      <rPr>
        <b/>
        <sz val="12"/>
        <color rgb="FF000000"/>
        <rFont val="Times New Roman"/>
        <family val="1"/>
      </rPr>
      <t>(SALÁRIO MÍNIMO 2025)</t>
    </r>
  </si>
  <si>
    <t>AROMATIZANTE DE AMBIENTES - EMBALAGEM COM 500ML</t>
  </si>
  <si>
    <t>SACO PARA LIXO - 40 LITROS NA COR PRETA</t>
  </si>
  <si>
    <t>ESCOVA SANITÁRIA</t>
  </si>
  <si>
    <t>Material sob demanda (copa)</t>
  </si>
  <si>
    <t>Material sob demanda (limpeza)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</si>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</sst>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&quot;R$ &quot;* #,##0.00_-;&quot;-R$ &quot;* #,##0.00_-;_-&quot;R$ &quot;* \-??_-;_-@_-"/>
    <numFmt numFmtId="165" formatCode="[$R$-416]\ #,##0.00;[Red]\-[$R$-416]\ #,##0.00"/>
    <numFmt numFmtId="166" formatCode="#,##0&quot; M²&quot;"/>
    <numFmt numFmtId="167" formatCode="#,##0.000000000"/>
    <numFmt numFmtId="168" formatCode="0.0000"/>
    <numFmt numFmtId="169" formatCode="#,##0.000000"/>
    <numFmt numFmtId="170" formatCode="&quot;R$&quot;#,##0.00"/>
    <numFmt numFmtId="171" formatCode="_-* #,##0.00_-;\-* #,##0.00_-;_-* \-??_-;_-@_-"/>
    <numFmt numFmtId="172" formatCode="#,##0.00_ ;\-#,##0.00\ "/>
    <numFmt numFmtId="173" formatCode="0.000%"/>
  </numFmts>
  <fonts count="44" x14ac:knownFonts="1">
    <font>
      <sz val="11"/>
      <color rgb="FF000000"/>
      <name val="Calibri"/>
      <family val="2"/>
      <charset val="1"/>
    </font>
    <font>
      <sz val="10"/>
      <color rgb="FFFFFFFF"/>
      <name val="Arial"/>
      <charset val="1"/>
    </font>
    <font>
      <b/>
      <sz val="10"/>
      <color rgb="FF000000"/>
      <name val="Arial"/>
      <charset val="1"/>
    </font>
    <font>
      <sz val="10"/>
      <color rgb="FFCC0000"/>
      <name val="Arial"/>
      <charset val="1"/>
    </font>
    <font>
      <b/>
      <sz val="10"/>
      <color rgb="FFFFFFFF"/>
      <name val="Arial"/>
      <charset val="1"/>
    </font>
    <font>
      <i/>
      <sz val="10"/>
      <color rgb="FF808080"/>
      <name val="Arial"/>
      <charset val="1"/>
    </font>
    <font>
      <sz val="10"/>
      <color rgb="FF006600"/>
      <name val="Arial"/>
      <charset val="1"/>
    </font>
    <font>
      <b/>
      <sz val="24"/>
      <color rgb="FF000000"/>
      <name val="Arial"/>
      <charset val="1"/>
    </font>
    <font>
      <sz val="18"/>
      <color rgb="FF000000"/>
      <name val="Arial"/>
      <charset val="1"/>
    </font>
    <font>
      <b/>
      <i/>
      <sz val="16"/>
      <color rgb="FF000000"/>
      <name val="Arial"/>
      <charset val="1"/>
    </font>
    <font>
      <sz val="12"/>
      <color rgb="FF000000"/>
      <name val="Arial"/>
      <charset val="1"/>
    </font>
    <font>
      <u/>
      <sz val="10"/>
      <color rgb="FF0000EE"/>
      <name val="Arial"/>
      <charset val="1"/>
    </font>
    <font>
      <sz val="10"/>
      <color rgb="FF996600"/>
      <name val="Arial"/>
      <charset val="1"/>
    </font>
    <font>
      <sz val="11"/>
      <color rgb="FF000000"/>
      <name val="Arial"/>
      <charset val="1"/>
    </font>
    <font>
      <sz val="10"/>
      <color rgb="FF333333"/>
      <name val="Arial"/>
      <charset val="1"/>
    </font>
    <font>
      <b/>
      <i/>
      <u/>
      <sz val="11"/>
      <color rgb="FF000000"/>
      <name val="Arial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2"/>
      <color rgb="FF000000"/>
      <name val="Segoe UI"/>
      <family val="2"/>
      <charset val="1"/>
    </font>
    <font>
      <b/>
      <sz val="13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u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sz val="18"/>
      <color rgb="FFFFFFFF"/>
      <name val="Times New Roman"/>
      <family val="1"/>
      <charset val="1"/>
    </font>
    <font>
      <sz val="12"/>
      <color rgb="FFFF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i/>
      <sz val="12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i/>
      <sz val="12"/>
      <name val="Times New Roman"/>
      <family val="1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8"/>
      <color rgb="FF000000"/>
      <name val="Segoe U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Segoe UI"/>
      <family val="2"/>
      <charset val="1"/>
    </font>
    <font>
      <b/>
      <sz val="11"/>
      <color rgb="FF000000"/>
      <name val="Arial"/>
      <charset val="1"/>
    </font>
    <font>
      <b/>
      <sz val="48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Abadi Extra Light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6600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8CBA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E2F0D9"/>
      </patternFill>
    </fill>
    <fill>
      <patternFill patternType="solid">
        <fgColor rgb="FFFFFFCC"/>
        <bgColor rgb="FFFFFFFF"/>
      </patternFill>
    </fill>
    <fill>
      <patternFill patternType="solid">
        <fgColor rgb="FFE2F0D9"/>
        <bgColor rgb="FFDEEBF7"/>
      </patternFill>
    </fill>
    <fill>
      <patternFill patternType="solid">
        <fgColor rgb="FF1F4E79"/>
        <bgColor rgb="FF2F5597"/>
      </patternFill>
    </fill>
    <fill>
      <patternFill patternType="solid">
        <fgColor rgb="FFC6E0B4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F2F2F2"/>
        <bgColor rgb="FFE2F0D9"/>
      </patternFill>
    </fill>
    <fill>
      <patternFill patternType="solid">
        <fgColor rgb="FF2F5597"/>
        <bgColor rgb="FF1F4E79"/>
      </patternFill>
    </fill>
    <fill>
      <patternFill patternType="solid">
        <fgColor rgb="FF203864"/>
        <bgColor rgb="FF1F4E79"/>
      </patternFill>
    </fill>
    <fill>
      <patternFill patternType="solid">
        <fgColor rgb="FF2E75B6"/>
        <bgColor rgb="FF0070C0"/>
      </patternFill>
    </fill>
    <fill>
      <patternFill patternType="solid">
        <fgColor rgb="FFDBDBDB"/>
        <bgColor rgb="FFD9D9D9"/>
      </patternFill>
    </fill>
    <fill>
      <patternFill patternType="solid">
        <fgColor rgb="FF9DC3E6"/>
        <bgColor rgb="FFBDD7EE"/>
      </patternFill>
    </fill>
    <fill>
      <patternFill patternType="solid">
        <fgColor rgb="FFFFFF00"/>
        <bgColor rgb="FFFFC000"/>
      </patternFill>
    </fill>
    <fill>
      <patternFill patternType="solid">
        <fgColor rgb="FFDEEBF7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6E0B4"/>
      </patternFill>
    </fill>
    <fill>
      <patternFill patternType="solid">
        <fgColor rgb="FFBDD7EE"/>
        <bgColor rgb="FFD9D9D9"/>
      </patternFill>
    </fill>
    <fill>
      <patternFill patternType="solid">
        <fgColor rgb="FFF4B183"/>
        <bgColor rgb="FFF8CBAD"/>
      </patternFill>
    </fill>
    <fill>
      <patternFill patternType="solid">
        <fgColor rgb="FFF8CBAD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FFC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</borders>
  <cellStyleXfs count="27">
    <xf numFmtId="0" fontId="0" fillId="0" borderId="0"/>
    <xf numFmtId="171" fontId="42" fillId="0" borderId="0" applyBorder="0" applyProtection="0"/>
    <xf numFmtId="9" fontId="42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>
      <alignment horizontal="center"/>
    </xf>
    <xf numFmtId="0" fontId="10" fillId="0" borderId="0" applyBorder="0" applyProtection="0"/>
    <xf numFmtId="0" fontId="9" fillId="0" borderId="0" applyBorder="0" applyProtection="0">
      <alignment horizontal="center" textRotation="90"/>
    </xf>
    <xf numFmtId="0" fontId="11" fillId="0" borderId="0" applyBorder="0" applyProtection="0"/>
    <xf numFmtId="164" fontId="42" fillId="0" borderId="0" applyBorder="0" applyProtection="0"/>
    <xf numFmtId="0" fontId="12" fillId="8" borderId="0" applyBorder="0" applyProtection="0"/>
    <xf numFmtId="0" fontId="13" fillId="0" borderId="0"/>
    <xf numFmtId="0" fontId="14" fillId="8" borderId="1" applyProtection="0"/>
    <xf numFmtId="0" fontId="15" fillId="0" borderId="0" applyBorder="0" applyProtection="0"/>
    <xf numFmtId="165" fontId="15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3" fillId="0" borderId="0" applyBorder="0" applyProtection="0"/>
    <xf numFmtId="0" fontId="36" fillId="0" borderId="0" applyBorder="0" applyProtection="0"/>
  </cellStyleXfs>
  <cellXfs count="202">
    <xf numFmtId="0" fontId="0" fillId="0" borderId="0" xfId="0"/>
    <xf numFmtId="0" fontId="28" fillId="0" borderId="14" xfId="0" applyFont="1" applyBorder="1" applyAlignment="1">
      <alignment horizontal="center" vertical="center" wrapText="1"/>
    </xf>
    <xf numFmtId="0" fontId="16" fillId="9" borderId="2" xfId="0" applyFont="1" applyFill="1" applyBorder="1" applyAlignment="1">
      <alignment vertical="center" wrapText="1"/>
    </xf>
    <xf numFmtId="4" fontId="16" fillId="9" borderId="2" xfId="0" applyNumberFormat="1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 wrapText="1"/>
    </xf>
    <xf numFmtId="166" fontId="17" fillId="9" borderId="2" xfId="0" applyNumberFormat="1" applyFont="1" applyFill="1" applyBorder="1" applyAlignment="1">
      <alignment horizontal="center" vertical="center"/>
    </xf>
    <xf numFmtId="167" fontId="17" fillId="9" borderId="2" xfId="0" applyNumberFormat="1" applyFont="1" applyFill="1" applyBorder="1" applyAlignment="1">
      <alignment vertical="center" wrapText="1"/>
    </xf>
    <xf numFmtId="4" fontId="17" fillId="9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16" fillId="0" borderId="0" xfId="0" applyFont="1" applyAlignment="1">
      <alignment horizontal="right"/>
    </xf>
    <xf numFmtId="168" fontId="16" fillId="0" borderId="0" xfId="0" applyNumberFormat="1" applyFont="1" applyAlignment="1">
      <alignment horizontal="center"/>
    </xf>
    <xf numFmtId="0" fontId="20" fillId="10" borderId="2" xfId="0" applyFont="1" applyFill="1" applyBorder="1" applyAlignment="1">
      <alignment vertical="center" wrapText="1"/>
    </xf>
    <xf numFmtId="4" fontId="21" fillId="10" borderId="2" xfId="0" applyNumberFormat="1" applyFont="1" applyFill="1" applyBorder="1" applyAlignment="1">
      <alignment horizontal="center" vertical="center"/>
    </xf>
    <xf numFmtId="4" fontId="20" fillId="1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1" borderId="2" xfId="0" applyFill="1" applyBorder="1" applyAlignment="1">
      <alignment wrapText="1"/>
    </xf>
    <xf numFmtId="167" fontId="0" fillId="12" borderId="2" xfId="0" applyNumberFormat="1" applyFill="1" applyBorder="1" applyAlignment="1">
      <alignment vertical="center" wrapText="1"/>
    </xf>
    <xf numFmtId="4" fontId="0" fillId="0" borderId="4" xfId="0" applyNumberFormat="1" applyBorder="1" applyAlignment="1">
      <alignment horizontal="left" vertical="center" wrapText="1"/>
    </xf>
    <xf numFmtId="1" fontId="42" fillId="13" borderId="0" xfId="2" applyNumberFormat="1" applyFill="1" applyBorder="1" applyAlignment="1" applyProtection="1">
      <alignment horizontal="center" vertical="center"/>
    </xf>
    <xf numFmtId="164" fontId="0" fillId="13" borderId="5" xfId="0" applyNumberFormat="1" applyFill="1" applyBorder="1" applyAlignment="1">
      <alignment horizontal="right" vertical="center" wrapText="1"/>
    </xf>
    <xf numFmtId="0" fontId="0" fillId="11" borderId="6" xfId="0" applyFill="1" applyBorder="1" applyAlignment="1">
      <alignment wrapText="1"/>
    </xf>
    <xf numFmtId="4" fontId="0" fillId="0" borderId="7" xfId="0" applyNumberFormat="1" applyBorder="1" applyAlignment="1">
      <alignment horizontal="left" vertical="center" wrapText="1"/>
    </xf>
    <xf numFmtId="1" fontId="42" fillId="13" borderId="8" xfId="2" applyNumberFormat="1" applyFill="1" applyBorder="1" applyAlignment="1" applyProtection="1">
      <alignment horizontal="center" vertical="center"/>
    </xf>
    <xf numFmtId="164" fontId="0" fillId="13" borderId="9" xfId="0" applyNumberFormat="1" applyFill="1" applyBorder="1" applyAlignment="1">
      <alignment horizontal="right" vertical="center" wrapText="1"/>
    </xf>
    <xf numFmtId="4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10" fontId="42" fillId="0" borderId="0" xfId="2" applyNumberFormat="1" applyBorder="1" applyAlignment="1" applyProtection="1">
      <alignment horizontal="center" vertical="center"/>
    </xf>
    <xf numFmtId="169" fontId="0" fillId="12" borderId="2" xfId="0" applyNumberForma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4" fontId="0" fillId="0" borderId="2" xfId="0" applyNumberFormat="1" applyBorder="1" applyAlignment="1">
      <alignment horizontal="center" vertical="center"/>
    </xf>
    <xf numFmtId="169" fontId="21" fillId="14" borderId="2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169" fontId="0" fillId="0" borderId="0" xfId="0" applyNumberFormat="1"/>
    <xf numFmtId="0" fontId="20" fillId="0" borderId="0" xfId="0" applyFont="1" applyAlignment="1">
      <alignment vertical="center" wrapText="1"/>
    </xf>
    <xf numFmtId="4" fontId="21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 wrapText="1"/>
    </xf>
    <xf numFmtId="0" fontId="21" fillId="15" borderId="4" xfId="0" applyFont="1" applyFill="1" applyBorder="1" applyAlignment="1">
      <alignment horizontal="left"/>
    </xf>
    <xf numFmtId="0" fontId="21" fillId="15" borderId="0" xfId="0" applyFont="1" applyFill="1" applyAlignment="1">
      <alignment horizontal="center"/>
    </xf>
    <xf numFmtId="0" fontId="21" fillId="15" borderId="5" xfId="0" applyFont="1" applyFill="1" applyBorder="1" applyAlignment="1">
      <alignment horizontal="center"/>
    </xf>
    <xf numFmtId="4" fontId="17" fillId="0" borderId="4" xfId="0" applyNumberFormat="1" applyFont="1" applyBorder="1" applyAlignment="1">
      <alignment horizontal="left" vertical="center" wrapText="1"/>
    </xf>
    <xf numFmtId="168" fontId="17" fillId="13" borderId="0" xfId="0" applyNumberFormat="1" applyFont="1" applyFill="1"/>
    <xf numFmtId="164" fontId="17" fillId="13" borderId="5" xfId="0" applyNumberFormat="1" applyFont="1" applyFill="1" applyBorder="1"/>
    <xf numFmtId="2" fontId="0" fillId="0" borderId="0" xfId="0" applyNumberFormat="1"/>
    <xf numFmtId="2" fontId="17" fillId="13" borderId="0" xfId="0" applyNumberFormat="1" applyFont="1" applyFill="1" applyAlignment="1">
      <alignment horizontal="right"/>
    </xf>
    <xf numFmtId="0" fontId="17" fillId="0" borderId="4" xfId="0" applyFont="1" applyBorder="1"/>
    <xf numFmtId="0" fontId="17" fillId="0" borderId="0" xfId="0" applyFont="1"/>
    <xf numFmtId="164" fontId="17" fillId="0" borderId="5" xfId="0" applyNumberFormat="1" applyFont="1" applyBorder="1"/>
    <xf numFmtId="0" fontId="16" fillId="0" borderId="4" xfId="0" applyFont="1" applyBorder="1" applyAlignment="1">
      <alignment horizontal="right"/>
    </xf>
    <xf numFmtId="0" fontId="17" fillId="13" borderId="0" xfId="0" applyFont="1" applyFill="1"/>
    <xf numFmtId="4" fontId="16" fillId="0" borderId="4" xfId="0" applyNumberFormat="1" applyFont="1" applyBorder="1" applyAlignment="1">
      <alignment horizontal="right" vertical="center" wrapText="1"/>
    </xf>
    <xf numFmtId="0" fontId="16" fillId="0" borderId="0" xfId="0" applyFont="1"/>
    <xf numFmtId="164" fontId="16" fillId="0" borderId="5" xfId="0" applyNumberFormat="1" applyFont="1" applyBorder="1"/>
    <xf numFmtId="4" fontId="16" fillId="0" borderId="7" xfId="0" applyNumberFormat="1" applyFont="1" applyBorder="1" applyAlignment="1">
      <alignment horizontal="right" vertical="center" wrapText="1"/>
    </xf>
    <xf numFmtId="0" fontId="16" fillId="13" borderId="8" xfId="0" applyFont="1" applyFill="1" applyBorder="1"/>
    <xf numFmtId="164" fontId="16" fillId="13" borderId="9" xfId="0" applyNumberFormat="1" applyFont="1" applyFill="1" applyBorder="1"/>
    <xf numFmtId="164" fontId="23" fillId="0" borderId="0" xfId="0" applyNumberFormat="1" applyFont="1"/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center"/>
    </xf>
    <xf numFmtId="170" fontId="0" fillId="0" borderId="0" xfId="0" applyNumberFormat="1"/>
    <xf numFmtId="4" fontId="0" fillId="0" borderId="0" xfId="0" applyNumberFormat="1" applyAlignment="1">
      <alignment horizontal="center" vertical="center" wrapText="1"/>
    </xf>
    <xf numFmtId="169" fontId="0" fillId="0" borderId="0" xfId="0" applyNumberFormat="1" applyAlignment="1">
      <alignment horizontal="center" vertical="center" wrapText="1"/>
    </xf>
    <xf numFmtId="169" fontId="21" fillId="0" borderId="0" xfId="0" applyNumberFormat="1" applyFont="1" applyAlignment="1">
      <alignment horizontal="center" vertical="center" wrapText="1"/>
    </xf>
    <xf numFmtId="0" fontId="25" fillId="0" borderId="0" xfId="0" applyFont="1"/>
    <xf numFmtId="0" fontId="25" fillId="17" borderId="11" xfId="0" applyFont="1" applyFill="1" applyBorder="1"/>
    <xf numFmtId="0" fontId="25" fillId="17" borderId="12" xfId="0" applyFont="1" applyFill="1" applyBorder="1"/>
    <xf numFmtId="0" fontId="25" fillId="0" borderId="0" xfId="0" applyFont="1" applyAlignment="1">
      <alignment horizontal="right"/>
    </xf>
    <xf numFmtId="0" fontId="25" fillId="0" borderId="0" xfId="0" applyFont="1" applyAlignment="1">
      <alignment horizontal="right" wrapText="1"/>
    </xf>
    <xf numFmtId="0" fontId="28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171" fontId="25" fillId="19" borderId="9" xfId="1" applyFont="1" applyFill="1" applyBorder="1" applyAlignment="1" applyProtection="1">
      <alignment horizontal="center" vertical="center" wrapText="1"/>
    </xf>
    <xf numFmtId="171" fontId="25" fillId="0" borderId="9" xfId="1" applyFont="1" applyBorder="1" applyAlignment="1" applyProtection="1">
      <alignment horizontal="center" vertical="center" wrapText="1"/>
    </xf>
    <xf numFmtId="171" fontId="28" fillId="0" borderId="9" xfId="1" applyFont="1" applyBorder="1" applyAlignment="1" applyProtection="1">
      <alignment horizontal="center" vertical="center" wrapText="1"/>
    </xf>
    <xf numFmtId="0" fontId="28" fillId="0" borderId="0" xfId="0" applyFont="1" applyAlignment="1">
      <alignment vertical="center"/>
    </xf>
    <xf numFmtId="10" fontId="25" fillId="0" borderId="9" xfId="0" applyNumberFormat="1" applyFont="1" applyBorder="1" applyAlignment="1">
      <alignment horizontal="center" vertical="center" wrapText="1"/>
    </xf>
    <xf numFmtId="10" fontId="25" fillId="19" borderId="9" xfId="0" applyNumberFormat="1" applyFont="1" applyFill="1" applyBorder="1" applyAlignment="1">
      <alignment horizontal="center" vertical="center" wrapText="1"/>
    </xf>
    <xf numFmtId="0" fontId="29" fillId="0" borderId="9" xfId="0" applyFont="1" applyBorder="1" applyAlignment="1">
      <alignment vertical="center" wrapText="1"/>
    </xf>
    <xf numFmtId="171" fontId="25" fillId="0" borderId="9" xfId="1" applyFont="1" applyBorder="1" applyAlignment="1" applyProtection="1">
      <alignment horizontal="right" vertical="center" wrapText="1"/>
    </xf>
    <xf numFmtId="172" fontId="25" fillId="0" borderId="9" xfId="1" applyNumberFormat="1" applyFont="1" applyBorder="1" applyAlignment="1" applyProtection="1">
      <alignment horizontal="right" vertical="center" wrapText="1"/>
    </xf>
    <xf numFmtId="10" fontId="25" fillId="0" borderId="9" xfId="0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25" fillId="0" borderId="9" xfId="0" applyFont="1" applyBorder="1" applyAlignment="1">
      <alignment horizontal="justify" vertical="center" wrapText="1"/>
    </xf>
    <xf numFmtId="173" fontId="25" fillId="0" borderId="9" xfId="2" applyNumberFormat="1" applyFont="1" applyBorder="1" applyAlignment="1" applyProtection="1">
      <alignment horizontal="center" vertical="center" wrapText="1"/>
    </xf>
    <xf numFmtId="10" fontId="25" fillId="0" borderId="9" xfId="2" applyNumberFormat="1" applyFont="1" applyBorder="1" applyAlignment="1" applyProtection="1">
      <alignment horizontal="center" vertical="center" wrapText="1"/>
    </xf>
    <xf numFmtId="9" fontId="25" fillId="0" borderId="9" xfId="2" applyFont="1" applyBorder="1" applyAlignment="1" applyProtection="1">
      <alignment horizontal="center" vertical="center" wrapText="1"/>
    </xf>
    <xf numFmtId="171" fontId="25" fillId="0" borderId="0" xfId="0" applyNumberFormat="1" applyFont="1"/>
    <xf numFmtId="0" fontId="28" fillId="0" borderId="15" xfId="0" applyFont="1" applyBorder="1" applyAlignment="1">
      <alignment vertical="center" wrapText="1"/>
    </xf>
    <xf numFmtId="10" fontId="25" fillId="0" borderId="0" xfId="0" applyNumberFormat="1" applyFont="1"/>
    <xf numFmtId="171" fontId="29" fillId="0" borderId="9" xfId="1" applyFont="1" applyBorder="1" applyAlignment="1" applyProtection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171" fontId="25" fillId="0" borderId="9" xfId="1" applyFont="1" applyBorder="1" applyAlignment="1" applyProtection="1">
      <alignment vertical="center" wrapText="1"/>
    </xf>
    <xf numFmtId="0" fontId="28" fillId="0" borderId="0" xfId="0" applyFont="1" applyAlignment="1">
      <alignment horizontal="center" vertical="center" wrapText="1"/>
    </xf>
    <xf numFmtId="171" fontId="25" fillId="0" borderId="0" xfId="1" applyFont="1" applyBorder="1" applyAlignment="1" applyProtection="1">
      <alignment vertical="center" wrapText="1"/>
    </xf>
    <xf numFmtId="171" fontId="31" fillId="0" borderId="9" xfId="1" applyFont="1" applyBorder="1" applyAlignment="1" applyProtection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21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3" fillId="0" borderId="2" xfId="0" applyFont="1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/>
    </xf>
    <xf numFmtId="0" fontId="33" fillId="0" borderId="2" xfId="0" applyFont="1" applyBorder="1" applyAlignment="1">
      <alignment horizontal="left" vertical="center"/>
    </xf>
    <xf numFmtId="164" fontId="34" fillId="22" borderId="2" xfId="17" applyFont="1" applyFill="1" applyBorder="1" applyAlignment="1" applyProtection="1">
      <alignment horizontal="right" vertical="center"/>
    </xf>
    <xf numFmtId="164" fontId="34" fillId="0" borderId="2" xfId="17" applyFont="1" applyBorder="1" applyAlignment="1" applyProtection="1">
      <alignment horizontal="right" vertical="center"/>
    </xf>
    <xf numFmtId="0" fontId="13" fillId="0" borderId="0" xfId="19"/>
    <xf numFmtId="0" fontId="35" fillId="21" borderId="0" xfId="26" applyFont="1" applyFill="1" applyBorder="1" applyAlignment="1" applyProtection="1">
      <alignment horizontal="center" vertical="center"/>
    </xf>
    <xf numFmtId="0" fontId="35" fillId="18" borderId="19" xfId="26" applyFont="1" applyFill="1" applyBorder="1" applyAlignment="1" applyProtection="1">
      <alignment horizontal="center" vertical="center"/>
    </xf>
    <xf numFmtId="0" fontId="35" fillId="18" borderId="19" xfId="26" applyFont="1" applyFill="1" applyBorder="1" applyAlignment="1" applyProtection="1">
      <alignment horizontal="center" vertical="center" wrapText="1"/>
    </xf>
    <xf numFmtId="0" fontId="37" fillId="0" borderId="19" xfId="26" applyFont="1" applyBorder="1" applyAlignment="1" applyProtection="1">
      <alignment horizontal="center" vertical="center"/>
    </xf>
    <xf numFmtId="0" fontId="37" fillId="0" borderId="19" xfId="26" applyFont="1" applyBorder="1" applyAlignment="1" applyProtection="1">
      <alignment horizontal="center" vertical="center" wrapText="1"/>
    </xf>
    <xf numFmtId="0" fontId="37" fillId="0" borderId="20" xfId="26" applyFont="1" applyBorder="1" applyAlignment="1" applyProtection="1">
      <alignment horizontal="center" vertical="center" wrapText="1"/>
    </xf>
    <xf numFmtId="0" fontId="37" fillId="0" borderId="21" xfId="26" applyFont="1" applyBorder="1" applyAlignment="1" applyProtection="1">
      <alignment horizontal="center" vertical="center" wrapText="1"/>
    </xf>
    <xf numFmtId="0" fontId="37" fillId="21" borderId="19" xfId="26" applyFont="1" applyFill="1" applyBorder="1" applyAlignment="1" applyProtection="1">
      <alignment horizontal="center" vertical="center" wrapText="1"/>
    </xf>
    <xf numFmtId="0" fontId="37" fillId="21" borderId="20" xfId="26" applyFont="1" applyFill="1" applyBorder="1" applyAlignment="1" applyProtection="1">
      <alignment horizontal="center" vertical="center" wrapText="1"/>
    </xf>
    <xf numFmtId="0" fontId="37" fillId="21" borderId="21" xfId="26" applyFont="1" applyFill="1" applyBorder="1" applyAlignment="1" applyProtection="1">
      <alignment horizontal="center" vertical="center" wrapText="1"/>
    </xf>
    <xf numFmtId="0" fontId="37" fillId="0" borderId="22" xfId="26" applyFont="1" applyBorder="1" applyAlignment="1" applyProtection="1">
      <alignment horizontal="center" vertical="center" wrapText="1"/>
    </xf>
    <xf numFmtId="0" fontId="37" fillId="0" borderId="23" xfId="26" applyFont="1" applyBorder="1" applyAlignment="1" applyProtection="1">
      <alignment horizontal="center" vertical="center"/>
    </xf>
    <xf numFmtId="0" fontId="37" fillId="0" borderId="23" xfId="26" applyFont="1" applyBorder="1" applyAlignment="1" applyProtection="1">
      <alignment horizontal="center" vertical="center" wrapText="1"/>
    </xf>
    <xf numFmtId="0" fontId="37" fillId="0" borderId="24" xfId="26" applyFont="1" applyBorder="1" applyAlignment="1" applyProtection="1">
      <alignment horizontal="center" vertical="center" wrapText="1"/>
    </xf>
    <xf numFmtId="0" fontId="37" fillId="0" borderId="25" xfId="26" applyFont="1" applyBorder="1" applyAlignment="1" applyProtection="1">
      <alignment horizontal="center" vertical="center" wrapText="1"/>
    </xf>
    <xf numFmtId="171" fontId="32" fillId="18" borderId="2" xfId="0" applyNumberFormat="1" applyFont="1" applyFill="1" applyBorder="1" applyAlignment="1">
      <alignment horizontal="center"/>
    </xf>
    <xf numFmtId="171" fontId="32" fillId="18" borderId="2" xfId="0" applyNumberFormat="1" applyFont="1" applyFill="1" applyBorder="1"/>
    <xf numFmtId="0" fontId="23" fillId="23" borderId="13" xfId="0" applyFont="1" applyFill="1" applyBorder="1" applyAlignment="1">
      <alignment horizontal="center"/>
    </xf>
    <xf numFmtId="0" fontId="40" fillId="0" borderId="13" xfId="0" applyFont="1" applyBorder="1" applyAlignment="1">
      <alignment horizontal="center"/>
    </xf>
    <xf numFmtId="0" fontId="41" fillId="0" borderId="13" xfId="0" applyFont="1" applyBorder="1" applyAlignment="1">
      <alignment horizontal="center"/>
    </xf>
    <xf numFmtId="10" fontId="25" fillId="26" borderId="9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10" xfId="0" applyFont="1" applyFill="1" applyBorder="1" applyAlignment="1">
      <alignment horizontal="center" vertical="center" wrapText="1"/>
    </xf>
    <xf numFmtId="0" fontId="26" fillId="16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25" fillId="17" borderId="2" xfId="0" applyFont="1" applyFill="1" applyBorder="1" applyAlignment="1">
      <alignment horizontal="center"/>
    </xf>
    <xf numFmtId="0" fontId="43" fillId="27" borderId="13" xfId="0" applyFont="1" applyFill="1" applyBorder="1" applyAlignment="1">
      <alignment horizontal="center"/>
    </xf>
    <xf numFmtId="0" fontId="25" fillId="17" borderId="2" xfId="0" applyFont="1" applyFill="1" applyBorder="1" applyAlignment="1">
      <alignment horizontal="center" wrapText="1"/>
    </xf>
    <xf numFmtId="0" fontId="28" fillId="18" borderId="0" xfId="0" applyFont="1" applyFill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28" fillId="20" borderId="0" xfId="0" applyFont="1" applyFill="1" applyAlignment="1">
      <alignment horizontal="center" vertical="center"/>
    </xf>
    <xf numFmtId="0" fontId="28" fillId="20" borderId="0" xfId="0" applyFont="1" applyFill="1" applyAlignment="1">
      <alignment horizontal="center" vertical="center" wrapText="1"/>
    </xf>
    <xf numFmtId="0" fontId="30" fillId="21" borderId="2" xfId="0" applyFont="1" applyFill="1" applyBorder="1" applyAlignment="1">
      <alignment horizontal="left" vertical="center" wrapText="1"/>
    </xf>
    <xf numFmtId="0" fontId="25" fillId="17" borderId="11" xfId="0" applyFont="1" applyFill="1" applyBorder="1" applyAlignment="1">
      <alignment horizontal="left"/>
    </xf>
    <xf numFmtId="0" fontId="25" fillId="17" borderId="12" xfId="0" applyFont="1" applyFill="1" applyBorder="1" applyAlignment="1">
      <alignment horizontal="left"/>
    </xf>
    <xf numFmtId="0" fontId="34" fillId="0" borderId="2" xfId="0" applyFont="1" applyBorder="1" applyAlignment="1">
      <alignment horizontal="right" vertical="center"/>
    </xf>
    <xf numFmtId="0" fontId="32" fillId="22" borderId="18" xfId="0" applyFont="1" applyFill="1" applyBorder="1" applyAlignment="1">
      <alignment horizontal="center"/>
    </xf>
    <xf numFmtId="0" fontId="34" fillId="22" borderId="2" xfId="0" applyFont="1" applyFill="1" applyBorder="1" applyAlignment="1">
      <alignment horizontal="right" vertical="center"/>
    </xf>
    <xf numFmtId="0" fontId="35" fillId="18" borderId="0" xfId="26" applyFont="1" applyFill="1" applyBorder="1" applyAlignment="1" applyProtection="1">
      <alignment horizontal="center"/>
    </xf>
    <xf numFmtId="0" fontId="13" fillId="0" borderId="0" xfId="19"/>
    <xf numFmtId="0" fontId="35" fillId="18" borderId="0" xfId="26" applyFont="1" applyFill="1" applyBorder="1" applyAlignment="1" applyProtection="1">
      <alignment horizontal="center" vertical="center"/>
    </xf>
    <xf numFmtId="0" fontId="35" fillId="18" borderId="19" xfId="26" applyFont="1" applyFill="1" applyBorder="1" applyAlignment="1" applyProtection="1">
      <alignment horizontal="center" vertical="center"/>
    </xf>
    <xf numFmtId="0" fontId="37" fillId="0" borderId="19" xfId="26" applyFont="1" applyBorder="1" applyAlignment="1" applyProtection="1">
      <alignment horizontal="center" vertical="center" wrapText="1"/>
    </xf>
    <xf numFmtId="171" fontId="13" fillId="0" borderId="19" xfId="1" applyFont="1" applyBorder="1" applyProtection="1"/>
    <xf numFmtId="171" fontId="13" fillId="0" borderId="19" xfId="19" applyNumberFormat="1" applyBorder="1"/>
    <xf numFmtId="49" fontId="37" fillId="0" borderId="19" xfId="26" applyNumberFormat="1" applyFont="1" applyBorder="1" applyAlignment="1" applyProtection="1">
      <alignment horizontal="center" vertical="center" wrapText="1"/>
    </xf>
    <xf numFmtId="0" fontId="37" fillId="21" borderId="19" xfId="26" applyFont="1" applyFill="1" applyBorder="1" applyAlignment="1" applyProtection="1">
      <alignment horizontal="center" vertical="center" wrapText="1"/>
    </xf>
    <xf numFmtId="171" fontId="13" fillId="21" borderId="19" xfId="1" applyFont="1" applyFill="1" applyBorder="1" applyProtection="1"/>
    <xf numFmtId="0" fontId="37" fillId="0" borderId="23" xfId="26" applyFont="1" applyBorder="1" applyAlignment="1" applyProtection="1">
      <alignment horizontal="center" vertical="center" wrapText="1"/>
    </xf>
    <xf numFmtId="171" fontId="13" fillId="0" borderId="23" xfId="1" applyFont="1" applyBorder="1" applyAlignment="1" applyProtection="1">
      <alignment horizontal="center"/>
    </xf>
    <xf numFmtId="171" fontId="13" fillId="0" borderId="23" xfId="19" applyNumberFormat="1" applyBorder="1"/>
    <xf numFmtId="0" fontId="38" fillId="18" borderId="2" xfId="19" applyFont="1" applyFill="1" applyBorder="1" applyAlignment="1">
      <alignment horizontal="center"/>
    </xf>
    <xf numFmtId="171" fontId="38" fillId="18" borderId="2" xfId="19" applyNumberFormat="1" applyFont="1" applyFill="1" applyBorder="1" applyAlignment="1">
      <alignment horizontal="right"/>
    </xf>
    <xf numFmtId="0" fontId="13" fillId="0" borderId="2" xfId="19" applyBorder="1" applyAlignment="1">
      <alignment horizontal="center"/>
    </xf>
    <xf numFmtId="9" fontId="13" fillId="0" borderId="2" xfId="19" applyNumberFormat="1" applyBorder="1" applyAlignment="1">
      <alignment horizontal="center"/>
    </xf>
    <xf numFmtId="171" fontId="13" fillId="0" borderId="2" xfId="19" applyNumberFormat="1" applyBorder="1" applyAlignment="1">
      <alignment horizontal="center"/>
    </xf>
    <xf numFmtId="10" fontId="13" fillId="0" borderId="2" xfId="19" applyNumberFormat="1" applyBorder="1" applyAlignment="1">
      <alignment horizontal="center"/>
    </xf>
    <xf numFmtId="171" fontId="38" fillId="18" borderId="2" xfId="19" applyNumberFormat="1" applyFont="1" applyFill="1" applyBorder="1" applyAlignment="1">
      <alignment horizontal="center"/>
    </xf>
    <xf numFmtId="0" fontId="32" fillId="23" borderId="2" xfId="0" applyFont="1" applyFill="1" applyBorder="1" applyAlignment="1">
      <alignment horizontal="center" vertical="center" wrapText="1"/>
    </xf>
    <xf numFmtId="0" fontId="13" fillId="18" borderId="2" xfId="19" applyFill="1" applyBorder="1" applyAlignment="1">
      <alignment horizontal="center"/>
    </xf>
    <xf numFmtId="10" fontId="13" fillId="18" borderId="2" xfId="19" applyNumberFormat="1" applyFill="1" applyBorder="1" applyAlignment="1">
      <alignment horizontal="center"/>
    </xf>
    <xf numFmtId="171" fontId="13" fillId="18" borderId="2" xfId="19" applyNumberFormat="1" applyFill="1" applyBorder="1" applyAlignment="1">
      <alignment horizontal="center"/>
    </xf>
    <xf numFmtId="0" fontId="0" fillId="0" borderId="0" xfId="0"/>
    <xf numFmtId="171" fontId="42" fillId="0" borderId="19" xfId="1" applyBorder="1" applyProtection="1"/>
    <xf numFmtId="0" fontId="32" fillId="18" borderId="2" xfId="0" applyFont="1" applyFill="1" applyBorder="1" applyAlignment="1">
      <alignment horizontal="center"/>
    </xf>
    <xf numFmtId="171" fontId="42" fillId="0" borderId="19" xfId="1" applyBorder="1" applyAlignment="1" applyProtection="1">
      <alignment horizontal="center" vertical="center"/>
    </xf>
    <xf numFmtId="171" fontId="42" fillId="21" borderId="19" xfId="1" applyFill="1" applyBorder="1" applyAlignment="1" applyProtection="1">
      <alignment horizontal="center" vertical="center"/>
    </xf>
    <xf numFmtId="171" fontId="42" fillId="0" borderId="23" xfId="1" applyBorder="1" applyAlignment="1" applyProtection="1">
      <alignment horizontal="center" vertical="center"/>
    </xf>
    <xf numFmtId="171" fontId="32" fillId="18" borderId="2" xfId="0" applyNumberFormat="1" applyFont="1" applyFill="1" applyBorder="1" applyAlignment="1">
      <alignment horizontal="center"/>
    </xf>
    <xf numFmtId="0" fontId="39" fillId="24" borderId="0" xfId="0" applyFont="1" applyFill="1" applyAlignment="1">
      <alignment horizontal="center" vertical="center"/>
    </xf>
    <xf numFmtId="0" fontId="23" fillId="23" borderId="2" xfId="0" applyFont="1" applyFill="1" applyBorder="1" applyAlignment="1">
      <alignment horizontal="center"/>
    </xf>
    <xf numFmtId="0" fontId="23" fillId="25" borderId="2" xfId="0" applyFont="1" applyFill="1" applyBorder="1" applyAlignment="1">
      <alignment horizontal="left"/>
    </xf>
    <xf numFmtId="0" fontId="40" fillId="0" borderId="2" xfId="0" applyFont="1" applyBorder="1" applyAlignment="1">
      <alignment horizontal="center"/>
    </xf>
    <xf numFmtId="164" fontId="40" fillId="0" borderId="2" xfId="0" applyNumberFormat="1" applyFont="1" applyBorder="1" applyAlignment="1">
      <alignment horizontal="center"/>
    </xf>
    <xf numFmtId="171" fontId="40" fillId="0" borderId="2" xfId="0" applyNumberFormat="1" applyFont="1" applyBorder="1" applyAlignment="1">
      <alignment horizontal="center"/>
    </xf>
    <xf numFmtId="0" fontId="40" fillId="25" borderId="2" xfId="0" applyFont="1" applyFill="1" applyBorder="1" applyAlignment="1">
      <alignment horizontal="center"/>
    </xf>
    <xf numFmtId="164" fontId="23" fillId="25" borderId="2" xfId="0" applyNumberFormat="1" applyFont="1" applyFill="1" applyBorder="1" applyAlignment="1">
      <alignment horizontal="center"/>
    </xf>
    <xf numFmtId="0" fontId="37" fillId="0" borderId="22" xfId="26" applyFont="1" applyBorder="1" applyAlignment="1" applyProtection="1">
      <alignment horizontal="center" vertical="center" wrapText="1"/>
    </xf>
    <xf numFmtId="0" fontId="37" fillId="0" borderId="20" xfId="26" applyFont="1" applyBorder="1" applyAlignment="1" applyProtection="1">
      <alignment horizontal="center" vertical="center" wrapText="1"/>
    </xf>
    <xf numFmtId="171" fontId="13" fillId="0" borderId="22" xfId="1" applyFont="1" applyBorder="1" applyAlignment="1" applyProtection="1">
      <alignment horizontal="center"/>
    </xf>
    <xf numFmtId="171" fontId="13" fillId="0" borderId="20" xfId="1" applyFont="1" applyBorder="1" applyAlignment="1" applyProtection="1">
      <alignment horizontal="center"/>
    </xf>
    <xf numFmtId="171" fontId="13" fillId="0" borderId="22" xfId="19" applyNumberFormat="1" applyBorder="1" applyAlignment="1">
      <alignment horizontal="center"/>
    </xf>
    <xf numFmtId="171" fontId="13" fillId="0" borderId="20" xfId="19" applyNumberFormat="1" applyBorder="1" applyAlignment="1">
      <alignment horizontal="center"/>
    </xf>
    <xf numFmtId="171" fontId="32" fillId="18" borderId="11" xfId="0" applyNumberFormat="1" applyFont="1" applyFill="1" applyBorder="1" applyAlignment="1">
      <alignment horizontal="center"/>
    </xf>
    <xf numFmtId="171" fontId="32" fillId="18" borderId="12" xfId="0" applyNumberFormat="1" applyFont="1" applyFill="1" applyBorder="1" applyAlignment="1">
      <alignment horizontal="center"/>
    </xf>
    <xf numFmtId="0" fontId="32" fillId="18" borderId="11" xfId="0" applyFont="1" applyFill="1" applyBorder="1" applyAlignment="1">
      <alignment horizontal="center"/>
    </xf>
    <xf numFmtId="0" fontId="32" fillId="18" borderId="13" xfId="0" applyFont="1" applyFill="1" applyBorder="1" applyAlignment="1">
      <alignment horizontal="center"/>
    </xf>
    <xf numFmtId="0" fontId="32" fillId="18" borderId="12" xfId="0" applyFont="1" applyFill="1" applyBorder="1" applyAlignment="1">
      <alignment horizontal="center"/>
    </xf>
  </cellXfs>
  <cellStyles count="27">
    <cellStyle name="Accent 1 5" xfId="3" xr:uid="{00000000-0005-0000-0000-000006000000}"/>
    <cellStyle name="Accent 2 6" xfId="4" xr:uid="{00000000-0005-0000-0000-000007000000}"/>
    <cellStyle name="Accent 3 7" xfId="5" xr:uid="{00000000-0005-0000-0000-000008000000}"/>
    <cellStyle name="Accent 4" xfId="6" xr:uid="{00000000-0005-0000-0000-000009000000}"/>
    <cellStyle name="Bad 8" xfId="7" xr:uid="{00000000-0005-0000-0000-00000A000000}"/>
    <cellStyle name="Error 9" xfId="8" xr:uid="{00000000-0005-0000-0000-00000B000000}"/>
    <cellStyle name="Excel Built-in Explanatory Text" xfId="26" xr:uid="{00000000-0005-0000-0000-00001D000000}"/>
    <cellStyle name="Footnote 10" xfId="9" xr:uid="{00000000-0005-0000-0000-00000C000000}"/>
    <cellStyle name="Good 11" xfId="10" xr:uid="{00000000-0005-0000-0000-00000D000000}"/>
    <cellStyle name="Heading" xfId="11" xr:uid="{00000000-0005-0000-0000-00000E000000}"/>
    <cellStyle name="Heading 1 13" xfId="12" xr:uid="{00000000-0005-0000-0000-00000F000000}"/>
    <cellStyle name="Heading 12" xfId="13" xr:uid="{00000000-0005-0000-0000-000010000000}"/>
    <cellStyle name="Heading 2 14" xfId="14" xr:uid="{00000000-0005-0000-0000-000011000000}"/>
    <cellStyle name="Hyperlink 15" xfId="16" xr:uid="{00000000-0005-0000-0000-000013000000}"/>
    <cellStyle name="Moeda 2" xfId="17" xr:uid="{00000000-0005-0000-0000-000014000000}"/>
    <cellStyle name="Neutral 16" xfId="18" xr:uid="{00000000-0005-0000-0000-000015000000}"/>
    <cellStyle name="Normal" xfId="0" builtinId="0"/>
    <cellStyle name="Normal 2" xfId="19" xr:uid="{00000000-0005-0000-0000-000016000000}"/>
    <cellStyle name="Note 17" xfId="20" xr:uid="{00000000-0005-0000-0000-000017000000}"/>
    <cellStyle name="Porcentagem" xfId="2" builtinId="5"/>
    <cellStyle name="Result 18" xfId="21" xr:uid="{00000000-0005-0000-0000-000018000000}"/>
    <cellStyle name="Resultado2" xfId="22" xr:uid="{00000000-0005-0000-0000-000019000000}"/>
    <cellStyle name="Status 19" xfId="23" xr:uid="{00000000-0005-0000-0000-00001A000000}"/>
    <cellStyle name="Text 20" xfId="24" xr:uid="{00000000-0005-0000-0000-00001B000000}"/>
    <cellStyle name="Título 1" xfId="15" xr:uid="{00000000-0005-0000-0000-000012000000}"/>
    <cellStyle name="Vírgula" xfId="1" builtinId="3"/>
    <cellStyle name="Warning 21" xfId="25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1F4E79"/>
      <rgbColor rgb="FFD9D9D9"/>
      <rgbColor rgb="FF808080"/>
      <rgbColor rgb="FFDBDBDB"/>
      <rgbColor rgb="FF993366"/>
      <rgbColor rgb="FFFFFFCC"/>
      <rgbColor rgb="FFDEEBF7"/>
      <rgbColor rgb="FF660066"/>
      <rgbColor rgb="FFFF8080"/>
      <rgbColor rgb="FF0070C0"/>
      <rgbColor rgb="FFBDD7EE"/>
      <rgbColor rgb="FF000080"/>
      <rgbColor rgb="FFFF00FF"/>
      <rgbColor rgb="FFDDDDDD"/>
      <rgbColor rgb="FF00FFFF"/>
      <rgbColor rgb="FF800080"/>
      <rgbColor rgb="FFCC0000"/>
      <rgbColor rgb="FF008080"/>
      <rgbColor rgb="FF0000FF"/>
      <rgbColor rgb="FF00B0F0"/>
      <rgbColor rgb="FFE2F0D9"/>
      <rgbColor rgb="FFCCFFCC"/>
      <rgbColor rgb="FFF2F2F2"/>
      <rgbColor rgb="FF9DC3E6"/>
      <rgbColor rgb="FFF4B183"/>
      <rgbColor rgb="FFFFCCCC"/>
      <rgbColor rgb="FFF8CBAD"/>
      <rgbColor rgb="FF2E75B6"/>
      <rgbColor rgb="FF33CCCC"/>
      <rgbColor rgb="FF92D050"/>
      <rgbColor rgb="FFFFC000"/>
      <rgbColor rgb="FFFF9900"/>
      <rgbColor rgb="FFFF6600"/>
      <rgbColor rgb="FF2F5597"/>
      <rgbColor rgb="FFC6E0B4"/>
      <rgbColor rgb="FF002060"/>
      <rgbColor rgb="FF00B050"/>
      <rgbColor rgb="FF003300"/>
      <rgbColor rgb="FF333300"/>
      <rgbColor rgb="FF993300"/>
      <rgbColor rgb="FF993366"/>
      <rgbColor rgb="FF20386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472320</xdr:colOff>
      <xdr:row>1</xdr:row>
      <xdr:rowOff>7560</xdr:rowOff>
    </xdr:from>
    <xdr:to>
      <xdr:col>13</xdr:col>
      <xdr:colOff>510540</xdr:colOff>
      <xdr:row>5</xdr:row>
      <xdr:rowOff>83820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8000880" y="190440"/>
          <a:ext cx="1821300" cy="914460"/>
        </a:xfrm>
        <a:prstGeom prst="rect">
          <a:avLst/>
        </a:prstGeom>
        <a:solidFill>
          <a:srgbClr val="FFFFFF"/>
        </a:solidFill>
        <a:ln w="57150">
          <a:solidFill>
            <a:srgbClr val="5B9BD5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>
          <a:noAutofit/>
        </a:bodyPr>
        <a:lstStyle/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latin typeface="Calibri"/>
            </a:rPr>
            <a:t>NA PROPOSTA, O LICITANTE DEVERÁ INDICAR A MARCA DO PRODUTO QUE SERÁ FORNECIDO. </a:t>
          </a:r>
          <a:endParaRPr lang="pt-BR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343080</xdr:colOff>
      <xdr:row>2</xdr:row>
      <xdr:rowOff>53280</xdr:rowOff>
    </xdr:from>
    <xdr:to>
      <xdr:col>10</xdr:col>
      <xdr:colOff>449280</xdr:colOff>
      <xdr:row>4</xdr:row>
      <xdr:rowOff>106200</xdr:rowOff>
    </xdr:to>
    <xdr:sp macro="" textlink="">
      <xdr:nvSpPr>
        <xdr:cNvPr id="3" name="Seta: Dobrada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4930920" y="419040"/>
          <a:ext cx="3267720" cy="426240"/>
        </a:xfrm>
        <a:prstGeom prst="bentArrow">
          <a:avLst>
            <a:gd name="adj1" fmla="val 25000"/>
            <a:gd name="adj2" fmla="val 25000"/>
            <a:gd name="adj3" fmla="val 25000"/>
            <a:gd name="adj4" fmla="val 43750"/>
          </a:avLst>
        </a:prstGeom>
        <a:solidFill>
          <a:srgbClr val="5B9BD5"/>
        </a:solidFill>
        <a:ln>
          <a:solidFill>
            <a:srgbClr val="43729D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zoomScale="130" zoomScaleNormal="130" workbookViewId="0">
      <selection activeCell="B13" sqref="B13"/>
    </sheetView>
  </sheetViews>
  <sheetFormatPr defaultColWidth="8.6640625" defaultRowHeight="14.4" x14ac:dyDescent="0.3"/>
  <cols>
    <col min="1" max="1" width="30.33203125" customWidth="1"/>
    <col min="2" max="2" width="9.6640625" customWidth="1"/>
    <col min="3" max="3" width="15.88671875" customWidth="1"/>
    <col min="4" max="4" width="15" customWidth="1"/>
    <col min="5" max="5" width="13.109375" customWidth="1"/>
  </cols>
  <sheetData>
    <row r="2" spans="1:5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3">
      <c r="A3" s="4" t="s">
        <v>5</v>
      </c>
      <c r="B3" s="5" t="e">
        <f>#REF!</f>
        <v>#REF!</v>
      </c>
      <c r="C3" s="5" t="e">
        <f>#REF!</f>
        <v>#REF!</v>
      </c>
      <c r="D3" s="6" t="e">
        <f>#REF!</f>
        <v>#REF!</v>
      </c>
      <c r="E3" s="7" t="e">
        <f>#REF!</f>
        <v>#REF!</v>
      </c>
    </row>
    <row r="4" spans="1:5" x14ac:dyDescent="0.3">
      <c r="A4" s="4" t="s">
        <v>6</v>
      </c>
      <c r="B4" s="5" t="e">
        <f>#REF!</f>
        <v>#REF!</v>
      </c>
      <c r="C4" s="5" t="e">
        <f>#REF!</f>
        <v>#REF!</v>
      </c>
      <c r="D4" s="6" t="e">
        <f>#REF!</f>
        <v>#REF!</v>
      </c>
      <c r="E4" s="7" t="e">
        <f>#REF!</f>
        <v>#REF!</v>
      </c>
    </row>
    <row r="5" spans="1:5" x14ac:dyDescent="0.3">
      <c r="A5" s="4" t="s">
        <v>7</v>
      </c>
      <c r="B5" s="5" t="e">
        <f>#REF!</f>
        <v>#REF!</v>
      </c>
      <c r="C5" s="5" t="e">
        <f>#REF!</f>
        <v>#REF!</v>
      </c>
      <c r="D5" s="6" t="e">
        <f>#REF!</f>
        <v>#REF!</v>
      </c>
      <c r="E5" s="7" t="e">
        <f>#REF!</f>
        <v>#REF!</v>
      </c>
    </row>
    <row r="6" spans="1:5" x14ac:dyDescent="0.3">
      <c r="A6" s="4" t="s">
        <v>8</v>
      </c>
      <c r="B6" s="5" t="e">
        <f>#REF!</f>
        <v>#REF!</v>
      </c>
      <c r="C6" s="5" t="e">
        <f>#REF!</f>
        <v>#REF!</v>
      </c>
      <c r="D6" s="6" t="e">
        <f>#REF!</f>
        <v>#REF!</v>
      </c>
      <c r="E6" s="7" t="e">
        <f>#REF!</f>
        <v>#REF!</v>
      </c>
    </row>
    <row r="7" spans="1:5" x14ac:dyDescent="0.3">
      <c r="A7" s="4" t="s">
        <v>9</v>
      </c>
      <c r="B7" s="5" t="e">
        <f>#REF!</f>
        <v>#REF!</v>
      </c>
      <c r="C7" s="5" t="e">
        <f>#REF!</f>
        <v>#REF!</v>
      </c>
      <c r="D7" s="6" t="e">
        <f>#REF!</f>
        <v>#REF!</v>
      </c>
      <c r="E7" s="7" t="e">
        <f>#REF!</f>
        <v>#REF!</v>
      </c>
    </row>
    <row r="8" spans="1:5" x14ac:dyDescent="0.3">
      <c r="A8" s="4" t="s">
        <v>10</v>
      </c>
      <c r="B8" s="5" t="e">
        <f>#REF!</f>
        <v>#REF!</v>
      </c>
      <c r="C8" s="5" t="e">
        <f>#REF!</f>
        <v>#REF!</v>
      </c>
      <c r="D8" s="6" t="e">
        <f>#REF!</f>
        <v>#REF!</v>
      </c>
      <c r="E8" s="7" t="e">
        <f>#REF!</f>
        <v>#REF!</v>
      </c>
    </row>
    <row r="9" spans="1:5" x14ac:dyDescent="0.3">
      <c r="A9" s="4" t="s">
        <v>11</v>
      </c>
      <c r="B9" s="5" t="e">
        <f>#REF!</f>
        <v>#REF!</v>
      </c>
      <c r="C9" s="5" t="e">
        <f>#REF!</f>
        <v>#REF!</v>
      </c>
      <c r="D9" s="6" t="e">
        <f>#REF!</f>
        <v>#REF!</v>
      </c>
      <c r="E9" s="7" t="e">
        <f>#REF!</f>
        <v>#REF!</v>
      </c>
    </row>
    <row r="10" spans="1:5" x14ac:dyDescent="0.3">
      <c r="A10" s="4" t="s">
        <v>12</v>
      </c>
      <c r="B10" s="5" t="e">
        <f>#REF!</f>
        <v>#REF!</v>
      </c>
      <c r="C10" s="5" t="e">
        <f>#REF!</f>
        <v>#REF!</v>
      </c>
      <c r="D10" s="6" t="e">
        <f>#REF!</f>
        <v>#REF!</v>
      </c>
      <c r="E10" s="7" t="e">
        <f>#REF!</f>
        <v>#REF!</v>
      </c>
    </row>
    <row r="11" spans="1:5" x14ac:dyDescent="0.3">
      <c r="A11" s="4" t="s">
        <v>13</v>
      </c>
      <c r="B11" s="5" t="e">
        <f>#REF!</f>
        <v>#REF!</v>
      </c>
      <c r="C11" s="5" t="e">
        <f>#REF!</f>
        <v>#REF!</v>
      </c>
      <c r="D11" s="6" t="e">
        <f>#REF!</f>
        <v>#REF!</v>
      </c>
      <c r="E11" s="7" t="e">
        <f>#REF!</f>
        <v>#REF!</v>
      </c>
    </row>
    <row r="12" spans="1:5" x14ac:dyDescent="0.3">
      <c r="A12" s="4" t="s">
        <v>14</v>
      </c>
      <c r="B12" s="5" t="e">
        <f>#REF!</f>
        <v>#REF!</v>
      </c>
      <c r="C12" s="5" t="e">
        <f>#REF!</f>
        <v>#REF!</v>
      </c>
      <c r="D12" s="6" t="e">
        <f>#REF!</f>
        <v>#REF!</v>
      </c>
      <c r="E12" s="7" t="e">
        <f>#REF!</f>
        <v>#REF!</v>
      </c>
    </row>
    <row r="13" spans="1:5" ht="28.8" x14ac:dyDescent="0.3">
      <c r="A13" s="4" t="s">
        <v>15</v>
      </c>
      <c r="B13" s="5" t="e">
        <f>#REF!</f>
        <v>#REF!</v>
      </c>
      <c r="C13" s="5" t="e">
        <f>#REF!</f>
        <v>#REF!</v>
      </c>
      <c r="D13" s="6" t="e">
        <f>#REF!</f>
        <v>#REF!</v>
      </c>
      <c r="E13" s="7" t="e">
        <f>#REF!</f>
        <v>#REF!</v>
      </c>
    </row>
    <row r="14" spans="1:5" ht="28.8" x14ac:dyDescent="0.3">
      <c r="A14" s="4" t="s">
        <v>16</v>
      </c>
      <c r="B14" s="5" t="e">
        <f>#REF!</f>
        <v>#REF!</v>
      </c>
      <c r="C14" s="5" t="e">
        <f>#REF!</f>
        <v>#REF!</v>
      </c>
      <c r="D14" s="6" t="e">
        <f>#REF!</f>
        <v>#REF!</v>
      </c>
      <c r="E14" s="7" t="e">
        <f>#REF!</f>
        <v>#REF!</v>
      </c>
    </row>
    <row r="15" spans="1:5" x14ac:dyDescent="0.3">
      <c r="A15" s="4" t="s">
        <v>17</v>
      </c>
      <c r="B15" s="5" t="e">
        <f>#REF!</f>
        <v>#REF!</v>
      </c>
      <c r="C15" s="5" t="e">
        <f>#REF!</f>
        <v>#REF!</v>
      </c>
      <c r="D15" s="6" t="e">
        <f>#REF!</f>
        <v>#REF!</v>
      </c>
      <c r="E15" s="7" t="e">
        <f>#REF!</f>
        <v>#REF!</v>
      </c>
    </row>
  </sheetData>
  <pageMargins left="0.51180555555555496" right="0.51180555555555496" top="0.78749999999999998" bottom="0.78749999999999998" header="0.51180555555555496" footer="0.51180555555555496"/>
  <pageSetup orientation="portrait" horizontalDpi="300" verticalDpi="30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2060"/>
  </sheetPr>
  <dimension ref="A2:I15"/>
  <sheetViews>
    <sheetView topLeftCell="A3" zoomScaleNormal="100" workbookViewId="0">
      <selection activeCell="K15" sqref="K15"/>
    </sheetView>
  </sheetViews>
  <sheetFormatPr defaultColWidth="8.6640625" defaultRowHeight="14.4" x14ac:dyDescent="0.3"/>
  <cols>
    <col min="3" max="3" width="39.109375" customWidth="1"/>
    <col min="9" max="9" width="9.33203125" customWidth="1"/>
  </cols>
  <sheetData>
    <row r="2" spans="1:9" x14ac:dyDescent="0.3">
      <c r="A2" s="152" t="s">
        <v>300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3">
      <c r="A3" s="176"/>
      <c r="B3" s="176"/>
      <c r="C3" s="176"/>
      <c r="D3" s="176"/>
      <c r="E3" s="176"/>
      <c r="F3" s="176"/>
      <c r="G3" s="176"/>
      <c r="H3" s="176"/>
      <c r="I3" s="176"/>
    </row>
    <row r="4" spans="1:9" x14ac:dyDescent="0.3">
      <c r="A4" s="154" t="s">
        <v>277</v>
      </c>
      <c r="B4" s="154"/>
      <c r="C4" s="154"/>
      <c r="D4" s="154"/>
      <c r="E4" s="154"/>
      <c r="F4" s="154"/>
      <c r="G4" s="154"/>
      <c r="H4" s="154"/>
      <c r="I4" s="154"/>
    </row>
    <row r="5" spans="1:9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9" ht="22.8" x14ac:dyDescent="0.3">
      <c r="A6" s="114" t="s">
        <v>226</v>
      </c>
      <c r="B6" s="155" t="s">
        <v>227</v>
      </c>
      <c r="C6" s="155"/>
      <c r="D6" s="115" t="s">
        <v>228</v>
      </c>
      <c r="E6" s="115" t="s">
        <v>229</v>
      </c>
      <c r="F6" s="155" t="s">
        <v>231</v>
      </c>
      <c r="G6" s="155"/>
      <c r="H6" s="155" t="s">
        <v>232</v>
      </c>
      <c r="I6" s="155"/>
    </row>
    <row r="7" spans="1:9" ht="73.2" customHeight="1" x14ac:dyDescent="0.3">
      <c r="A7" s="116">
        <v>1</v>
      </c>
      <c r="B7" s="156" t="s">
        <v>301</v>
      </c>
      <c r="C7" s="156"/>
      <c r="D7" s="118" t="s">
        <v>302</v>
      </c>
      <c r="E7" s="118">
        <v>50</v>
      </c>
      <c r="F7" s="179">
        <v>13.43</v>
      </c>
      <c r="G7" s="179"/>
      <c r="H7" s="179">
        <f>E7*F7</f>
        <v>671.5</v>
      </c>
      <c r="I7" s="179"/>
    </row>
    <row r="8" spans="1:9" ht="64.8" customHeight="1" x14ac:dyDescent="0.3">
      <c r="A8" s="116">
        <v>2</v>
      </c>
      <c r="B8" s="156" t="s">
        <v>303</v>
      </c>
      <c r="C8" s="156"/>
      <c r="D8" s="118" t="s">
        <v>304</v>
      </c>
      <c r="E8" s="118">
        <v>24</v>
      </c>
      <c r="F8" s="179">
        <v>4.4800000000000004</v>
      </c>
      <c r="G8" s="179"/>
      <c r="H8" s="179">
        <f>E8*F8</f>
        <v>107.52000000000001</v>
      </c>
      <c r="I8" s="179"/>
    </row>
    <row r="9" spans="1:9" ht="69" customHeight="1" x14ac:dyDescent="0.3">
      <c r="A9" s="116">
        <v>3</v>
      </c>
      <c r="B9" s="156" t="s">
        <v>305</v>
      </c>
      <c r="C9" s="156"/>
      <c r="D9" s="118" t="s">
        <v>241</v>
      </c>
      <c r="E9" s="118">
        <v>6</v>
      </c>
      <c r="F9" s="179">
        <v>8.9499999999999993</v>
      </c>
      <c r="G9" s="179"/>
      <c r="H9" s="179">
        <f>E9*F9</f>
        <v>53.699999999999996</v>
      </c>
      <c r="I9" s="179"/>
    </row>
    <row r="10" spans="1:9" ht="15.6" customHeight="1" x14ac:dyDescent="0.3">
      <c r="A10" s="116">
        <v>4</v>
      </c>
      <c r="B10" s="156" t="s">
        <v>306</v>
      </c>
      <c r="C10" s="156"/>
      <c r="D10" s="118" t="s">
        <v>241</v>
      </c>
      <c r="E10" s="126">
        <v>6</v>
      </c>
      <c r="F10" s="181">
        <v>125</v>
      </c>
      <c r="G10" s="181"/>
      <c r="H10" s="181">
        <f>E10*F10</f>
        <v>750</v>
      </c>
      <c r="I10" s="181"/>
    </row>
    <row r="11" spans="1:9" x14ac:dyDescent="0.3">
      <c r="E11" s="178" t="s">
        <v>307</v>
      </c>
      <c r="F11" s="178"/>
      <c r="G11" s="178"/>
      <c r="H11" s="182">
        <f>SUM(H7:I10)</f>
        <v>1582.72</v>
      </c>
      <c r="I11" s="182"/>
    </row>
    <row r="12" spans="1:9" x14ac:dyDescent="0.3">
      <c r="E12" s="199"/>
      <c r="F12" s="200"/>
      <c r="G12" s="201"/>
      <c r="H12" s="197">
        <v>0</v>
      </c>
      <c r="I12" s="198"/>
    </row>
    <row r="13" spans="1:9" ht="14.4" customHeight="1" x14ac:dyDescent="0.3">
      <c r="A13" s="172" t="s">
        <v>308</v>
      </c>
      <c r="B13" s="172"/>
      <c r="C13" s="172"/>
      <c r="D13" s="172"/>
      <c r="E13" s="172"/>
      <c r="F13" s="172"/>
      <c r="G13" s="172"/>
      <c r="H13" s="172"/>
      <c r="I13" s="172"/>
    </row>
    <row r="14" spans="1:9" x14ac:dyDescent="0.3">
      <c r="A14" s="172"/>
      <c r="B14" s="172"/>
      <c r="C14" s="172"/>
      <c r="D14" s="172"/>
      <c r="E14" s="172"/>
      <c r="F14" s="172"/>
      <c r="G14" s="172"/>
      <c r="H14" s="172"/>
      <c r="I14" s="172"/>
    </row>
    <row r="15" spans="1:9" x14ac:dyDescent="0.3">
      <c r="A15" s="172"/>
      <c r="B15" s="172"/>
      <c r="C15" s="172"/>
      <c r="D15" s="172"/>
      <c r="E15" s="172"/>
      <c r="F15" s="172"/>
      <c r="G15" s="172"/>
      <c r="H15" s="172"/>
      <c r="I15" s="172"/>
    </row>
  </sheetData>
  <mergeCells count="23">
    <mergeCell ref="E11:G11"/>
    <mergeCell ref="H11:I11"/>
    <mergeCell ref="E12:G12"/>
    <mergeCell ref="H12:I12"/>
    <mergeCell ref="A13:I15"/>
    <mergeCell ref="B9:C9"/>
    <mergeCell ref="F9:G9"/>
    <mergeCell ref="H9:I9"/>
    <mergeCell ref="B10:C10"/>
    <mergeCell ref="F10:G10"/>
    <mergeCell ref="H10:I10"/>
    <mergeCell ref="B7:C7"/>
    <mergeCell ref="F7:G7"/>
    <mergeCell ref="H7:I7"/>
    <mergeCell ref="B8:C8"/>
    <mergeCell ref="F8:G8"/>
    <mergeCell ref="H8:I8"/>
    <mergeCell ref="A2:I2"/>
    <mergeCell ref="A3:I3"/>
    <mergeCell ref="A4:I4"/>
    <mergeCell ref="B6:C6"/>
    <mergeCell ref="F6:G6"/>
    <mergeCell ref="H6:I6"/>
  </mergeCells>
  <pageMargins left="0.51180555555555496" right="0.51180555555555496" top="0.78749999999999998" bottom="0.78749999999999998" header="0.51180555555555496" footer="0.51180555555555496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00000"/>
  </sheetPr>
  <dimension ref="A1:N12"/>
  <sheetViews>
    <sheetView zoomScaleNormal="100" workbookViewId="0">
      <selection activeCell="I11" sqref="I11:K11"/>
    </sheetView>
  </sheetViews>
  <sheetFormatPr defaultColWidth="8.6640625" defaultRowHeight="14.4" x14ac:dyDescent="0.3"/>
  <cols>
    <col min="8" max="8" width="17.6640625" customWidth="1"/>
    <col min="11" max="11" width="13" customWidth="1"/>
    <col min="14" max="14" width="10.6640625" customWidth="1"/>
  </cols>
  <sheetData>
    <row r="1" spans="1:14" x14ac:dyDescent="0.3">
      <c r="A1" s="183" t="s">
        <v>309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4" x14ac:dyDescent="0.3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</row>
    <row r="3" spans="1:14" x14ac:dyDescent="0.3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</row>
    <row r="4" spans="1:14" x14ac:dyDescent="0.3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</row>
    <row r="6" spans="1:14" ht="18" x14ac:dyDescent="0.35">
      <c r="A6" s="184" t="s">
        <v>203</v>
      </c>
      <c r="B6" s="184"/>
      <c r="C6" s="184" t="s">
        <v>310</v>
      </c>
      <c r="D6" s="184"/>
      <c r="E6" s="184"/>
      <c r="F6" s="184"/>
      <c r="G6" s="184"/>
      <c r="H6" s="130" t="s">
        <v>311</v>
      </c>
      <c r="I6" s="184" t="s">
        <v>312</v>
      </c>
      <c r="J6" s="184"/>
      <c r="K6" s="184"/>
      <c r="L6" s="184" t="s">
        <v>313</v>
      </c>
      <c r="M6" s="184"/>
      <c r="N6" s="184"/>
    </row>
    <row r="7" spans="1:14" ht="18" x14ac:dyDescent="0.35">
      <c r="A7" s="185" t="s">
        <v>314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</row>
    <row r="8" spans="1:14" ht="18" x14ac:dyDescent="0.35">
      <c r="A8" s="186">
        <v>1</v>
      </c>
      <c r="B8" s="186"/>
      <c r="C8" s="186" t="s">
        <v>315</v>
      </c>
      <c r="D8" s="186"/>
      <c r="E8" s="186"/>
      <c r="F8" s="186"/>
      <c r="G8" s="186"/>
      <c r="H8" s="131" t="s">
        <v>316</v>
      </c>
      <c r="I8" s="187">
        <f>SIMULADOR!G52</f>
        <v>26439.641909363458</v>
      </c>
      <c r="J8" s="187"/>
      <c r="K8" s="187"/>
      <c r="L8" s="187">
        <f>I8*12</f>
        <v>317275.70291236148</v>
      </c>
      <c r="M8" s="187"/>
      <c r="N8" s="187"/>
    </row>
    <row r="9" spans="1:14" ht="18" x14ac:dyDescent="0.35">
      <c r="A9" s="186">
        <v>2</v>
      </c>
      <c r="B9" s="186"/>
      <c r="C9" s="186" t="s">
        <v>334</v>
      </c>
      <c r="D9" s="186"/>
      <c r="E9" s="186"/>
      <c r="F9" s="186"/>
      <c r="G9" s="186"/>
      <c r="H9" s="132"/>
      <c r="I9" s="188">
        <f>MATERIAL!I46</f>
        <v>3280.5509237438423</v>
      </c>
      <c r="J9" s="188"/>
      <c r="K9" s="188"/>
      <c r="L9" s="188">
        <f>I9*12</f>
        <v>39366.611084926109</v>
      </c>
      <c r="M9" s="188"/>
      <c r="N9" s="188"/>
    </row>
    <row r="10" spans="1:14" ht="18" x14ac:dyDescent="0.35">
      <c r="A10" s="189" t="s">
        <v>275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90">
        <f>SUM(L4:L9)</f>
        <v>356642.31399728759</v>
      </c>
      <c r="M10" s="190"/>
      <c r="N10" s="190"/>
    </row>
    <row r="11" spans="1:14" ht="18" x14ac:dyDescent="0.35">
      <c r="A11" s="186">
        <v>3</v>
      </c>
      <c r="B11" s="186"/>
      <c r="C11" s="186" t="s">
        <v>317</v>
      </c>
      <c r="D11" s="186"/>
      <c r="E11" s="186"/>
      <c r="F11" s="186"/>
      <c r="G11" s="186"/>
      <c r="H11" s="131">
        <v>1</v>
      </c>
      <c r="I11" s="188">
        <f>COPEIRA!C131*1</f>
        <v>4750.2255811714003</v>
      </c>
      <c r="J11" s="188"/>
      <c r="K11" s="188"/>
      <c r="L11" s="188">
        <f>I11*12</f>
        <v>57002.706974056804</v>
      </c>
      <c r="M11" s="188"/>
      <c r="N11" s="188"/>
    </row>
    <row r="12" spans="1:14" ht="18" x14ac:dyDescent="0.35">
      <c r="A12" s="186">
        <v>4</v>
      </c>
      <c r="B12" s="186"/>
      <c r="C12" s="186" t="s">
        <v>333</v>
      </c>
      <c r="D12" s="186"/>
      <c r="E12" s="186"/>
      <c r="F12" s="186"/>
      <c r="G12" s="186"/>
      <c r="H12" s="132"/>
      <c r="I12" s="188">
        <f>'INSUMOS COPA'!H12</f>
        <v>0</v>
      </c>
      <c r="J12" s="188"/>
      <c r="K12" s="188"/>
      <c r="L12" s="188">
        <f>I12*12</f>
        <v>0</v>
      </c>
      <c r="M12" s="188"/>
      <c r="N12" s="188"/>
    </row>
  </sheetData>
  <mergeCells count="24">
    <mergeCell ref="A11:B11"/>
    <mergeCell ref="C11:G11"/>
    <mergeCell ref="I11:K11"/>
    <mergeCell ref="L11:N11"/>
    <mergeCell ref="A12:B12"/>
    <mergeCell ref="C12:G12"/>
    <mergeCell ref="I12:K12"/>
    <mergeCell ref="L12:N12"/>
    <mergeCell ref="A9:B9"/>
    <mergeCell ref="C9:G9"/>
    <mergeCell ref="I9:K9"/>
    <mergeCell ref="L9:N9"/>
    <mergeCell ref="A10:K10"/>
    <mergeCell ref="L10:N10"/>
    <mergeCell ref="A7:N7"/>
    <mergeCell ref="A8:B8"/>
    <mergeCell ref="C8:G8"/>
    <mergeCell ref="I8:K8"/>
    <mergeCell ref="L8:N8"/>
    <mergeCell ref="A1:N4"/>
    <mergeCell ref="A6:B6"/>
    <mergeCell ref="C6:G6"/>
    <mergeCell ref="I6:K6"/>
    <mergeCell ref="L6:N6"/>
  </mergeCells>
  <pageMargins left="0.51180555555555496" right="0.51180555555555496" top="0.78749999999999998" bottom="0.78749999999999998" header="0.51180555555555496" footer="0.51180555555555496"/>
  <pageSetup paperSize="9" scale="9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J76"/>
  <sheetViews>
    <sheetView topLeftCell="A48" zoomScaleNormal="100" workbookViewId="0">
      <selection activeCell="E57" sqref="E57"/>
    </sheetView>
  </sheetViews>
  <sheetFormatPr defaultColWidth="8.6640625" defaultRowHeight="14.4" x14ac:dyDescent="0.3"/>
  <cols>
    <col min="1" max="1" width="67" style="8" customWidth="1"/>
    <col min="2" max="2" width="23.88671875" style="9" customWidth="1"/>
    <col min="3" max="3" width="19.33203125" style="10" customWidth="1"/>
    <col min="4" max="4" width="9.6640625" customWidth="1"/>
    <col min="5" max="5" width="44.33203125" customWidth="1"/>
    <col min="6" max="6" width="18.109375" customWidth="1"/>
    <col min="7" max="7" width="32.109375" customWidth="1"/>
    <col min="8" max="8" width="12" customWidth="1"/>
    <col min="9" max="9" width="13" customWidth="1"/>
    <col min="10" max="10" width="14.5546875" customWidth="1"/>
  </cols>
  <sheetData>
    <row r="1" spans="1:7" ht="17.399999999999999" x14ac:dyDescent="0.3">
      <c r="A1" s="134" t="s">
        <v>18</v>
      </c>
      <c r="B1" s="134"/>
      <c r="C1" s="134"/>
      <c r="D1" s="134"/>
      <c r="E1" s="134"/>
      <c r="F1" s="134"/>
      <c r="G1" s="134"/>
    </row>
    <row r="2" spans="1:7" x14ac:dyDescent="0.3">
      <c r="E2" s="11"/>
      <c r="F2" s="12"/>
    </row>
    <row r="3" spans="1:7" ht="14.4" customHeight="1" x14ac:dyDescent="0.3">
      <c r="A3" s="13" t="s">
        <v>19</v>
      </c>
      <c r="B3" s="14" t="s">
        <v>20</v>
      </c>
      <c r="C3" s="15" t="s">
        <v>21</v>
      </c>
      <c r="E3" s="135" t="s">
        <v>22</v>
      </c>
      <c r="F3" s="135"/>
      <c r="G3" s="135"/>
    </row>
    <row r="4" spans="1:7" x14ac:dyDescent="0.3">
      <c r="A4" s="16" t="s">
        <v>23</v>
      </c>
      <c r="B4" s="17">
        <v>0</v>
      </c>
      <c r="C4" s="18">
        <f t="shared" ref="C4:C9" si="0">(((1/B21)*$G$4))</f>
        <v>6.0071358213608033</v>
      </c>
      <c r="E4" s="19" t="s">
        <v>24</v>
      </c>
      <c r="F4" s="20">
        <f>ROUND(C36,0)</f>
        <v>5</v>
      </c>
      <c r="G4" s="21">
        <f>ASG!C131</f>
        <v>4805.7086570886422</v>
      </c>
    </row>
    <row r="5" spans="1:7" x14ac:dyDescent="0.3">
      <c r="A5" s="16" t="s">
        <v>25</v>
      </c>
      <c r="B5" s="22">
        <v>1885.5</v>
      </c>
      <c r="C5" s="18">
        <f t="shared" si="0"/>
        <v>6.0071358213608033</v>
      </c>
      <c r="E5" s="19" t="s">
        <v>26</v>
      </c>
      <c r="F5" s="20">
        <v>0</v>
      </c>
      <c r="G5" s="21">
        <v>0</v>
      </c>
    </row>
    <row r="6" spans="1:7" x14ac:dyDescent="0.3">
      <c r="A6" s="16" t="s">
        <v>27</v>
      </c>
      <c r="B6" s="22">
        <v>0</v>
      </c>
      <c r="C6" s="18">
        <f t="shared" si="0"/>
        <v>10.679352571308094</v>
      </c>
      <c r="E6" s="19" t="s">
        <v>28</v>
      </c>
      <c r="F6" s="20">
        <v>1</v>
      </c>
      <c r="G6" s="21">
        <f>ENCARREGADO!C131</f>
        <v>5675.3195357211562</v>
      </c>
    </row>
    <row r="7" spans="1:7" x14ac:dyDescent="0.3">
      <c r="A7" s="16" t="s">
        <v>29</v>
      </c>
      <c r="B7" s="22"/>
      <c r="C7" s="18">
        <f t="shared" si="0"/>
        <v>1.922283462835457</v>
      </c>
      <c r="E7" s="23" t="s">
        <v>30</v>
      </c>
      <c r="F7" s="24">
        <f>B58</f>
        <v>0</v>
      </c>
      <c r="G7" s="25">
        <v>0</v>
      </c>
    </row>
    <row r="8" spans="1:7" x14ac:dyDescent="0.3">
      <c r="A8" s="16" t="s">
        <v>31</v>
      </c>
      <c r="B8" s="22">
        <v>0</v>
      </c>
      <c r="C8" s="18">
        <f t="shared" si="0"/>
        <v>2.6698381428270235</v>
      </c>
      <c r="E8" s="26"/>
      <c r="G8" s="27"/>
    </row>
    <row r="9" spans="1:7" x14ac:dyDescent="0.3">
      <c r="A9" s="16" t="s">
        <v>32</v>
      </c>
      <c r="B9" s="22">
        <v>0</v>
      </c>
      <c r="C9" s="18">
        <f t="shared" si="0"/>
        <v>3.2038057713924282</v>
      </c>
    </row>
    <row r="10" spans="1:7" ht="14.4" customHeight="1" x14ac:dyDescent="0.3">
      <c r="A10" s="16" t="s">
        <v>11</v>
      </c>
      <c r="B10" s="22">
        <v>0</v>
      </c>
      <c r="C10" s="18">
        <f>((1/B27)*$G$4)</f>
        <v>16.019028856962141</v>
      </c>
      <c r="E10" s="135" t="s">
        <v>33</v>
      </c>
      <c r="F10" s="135"/>
      <c r="G10" s="135"/>
    </row>
    <row r="11" spans="1:7" ht="15" customHeight="1" x14ac:dyDescent="0.3">
      <c r="A11" s="16" t="s">
        <v>34</v>
      </c>
      <c r="B11" s="22">
        <v>3472.81</v>
      </c>
      <c r="C11" s="18">
        <f>(((1/B28)*$G$4))</f>
        <v>2.6698381428270235</v>
      </c>
      <c r="E11" s="19" t="s">
        <v>35</v>
      </c>
      <c r="F11" s="28"/>
      <c r="G11" s="21">
        <f t="shared" ref="G11:G25" si="1">B4*C4</f>
        <v>0</v>
      </c>
    </row>
    <row r="12" spans="1:7" x14ac:dyDescent="0.3">
      <c r="A12" s="16" t="s">
        <v>36</v>
      </c>
      <c r="B12" s="22">
        <v>0</v>
      </c>
      <c r="C12" s="18">
        <f>(((1/B29)*$G$4))</f>
        <v>0.53396762856540469</v>
      </c>
      <c r="E12" s="19" t="s">
        <v>37</v>
      </c>
      <c r="F12" s="28"/>
      <c r="G12" s="21">
        <f t="shared" si="1"/>
        <v>11326.454591175794</v>
      </c>
    </row>
    <row r="13" spans="1:7" x14ac:dyDescent="0.3">
      <c r="A13" s="16" t="s">
        <v>14</v>
      </c>
      <c r="B13" s="22">
        <v>0</v>
      </c>
      <c r="C13" s="18">
        <f>(((1/B30)*$G$4))</f>
        <v>1.7798920952180155</v>
      </c>
      <c r="E13" s="19" t="s">
        <v>38</v>
      </c>
      <c r="F13" s="28"/>
      <c r="G13" s="21">
        <f t="shared" si="1"/>
        <v>0</v>
      </c>
    </row>
    <row r="14" spans="1:7" x14ac:dyDescent="0.3">
      <c r="A14" s="16" t="s">
        <v>39</v>
      </c>
      <c r="B14" s="22">
        <v>0</v>
      </c>
      <c r="C14" s="18">
        <f>(((1/B31)*16*(1/188.76))*$G$4)</f>
        <v>3.1334596032983799</v>
      </c>
      <c r="E14" s="19" t="s">
        <v>40</v>
      </c>
      <c r="F14" s="28"/>
      <c r="G14" s="21">
        <f t="shared" si="1"/>
        <v>0</v>
      </c>
    </row>
    <row r="15" spans="1:7" x14ac:dyDescent="0.3">
      <c r="A15" s="16" t="s">
        <v>41</v>
      </c>
      <c r="B15" s="22">
        <v>0</v>
      </c>
      <c r="C15" s="18">
        <f>(((1/B32)*16*(1/188.76))*$G$4)</f>
        <v>1.3578324947626312</v>
      </c>
      <c r="E15" s="19" t="s">
        <v>42</v>
      </c>
      <c r="G15" s="21">
        <f t="shared" si="1"/>
        <v>0</v>
      </c>
    </row>
    <row r="16" spans="1:7" x14ac:dyDescent="0.3">
      <c r="A16" s="16" t="s">
        <v>43</v>
      </c>
      <c r="B16" s="22">
        <v>154.88</v>
      </c>
      <c r="C16" s="18">
        <f>(((1/B33)*16*(1/188.76))*$G$4)</f>
        <v>1.0719730221810246</v>
      </c>
      <c r="E16" s="19" t="s">
        <v>44</v>
      </c>
      <c r="F16" s="28"/>
      <c r="G16" s="21">
        <f t="shared" si="1"/>
        <v>0</v>
      </c>
    </row>
    <row r="17" spans="1:7" x14ac:dyDescent="0.3">
      <c r="A17" s="16" t="s">
        <v>45</v>
      </c>
      <c r="B17" s="22">
        <v>0</v>
      </c>
      <c r="C17" s="18">
        <f>(((1/B34)*8*(1/1132.6))*$G$4)</f>
        <v>0.21215383441147109</v>
      </c>
      <c r="E17" s="19" t="s">
        <v>46</v>
      </c>
      <c r="F17" s="28"/>
      <c r="G17" s="21">
        <f t="shared" si="1"/>
        <v>0</v>
      </c>
    </row>
    <row r="18" spans="1:7" x14ac:dyDescent="0.3">
      <c r="A18" s="16" t="s">
        <v>47</v>
      </c>
      <c r="B18" s="22">
        <v>0</v>
      </c>
      <c r="C18" s="18">
        <f>((1/B35)*$G$4)</f>
        <v>13.349190714135117</v>
      </c>
      <c r="E18" s="19" t="s">
        <v>48</v>
      </c>
      <c r="G18" s="21">
        <f t="shared" si="1"/>
        <v>9271.8406007911144</v>
      </c>
    </row>
    <row r="19" spans="1:7" x14ac:dyDescent="0.3">
      <c r="E19" s="19" t="s">
        <v>49</v>
      </c>
      <c r="G19" s="21">
        <f t="shared" si="1"/>
        <v>0</v>
      </c>
    </row>
    <row r="20" spans="1:7" x14ac:dyDescent="0.3">
      <c r="A20" s="13" t="s">
        <v>50</v>
      </c>
      <c r="B20" s="14" t="s">
        <v>2</v>
      </c>
      <c r="C20" s="15" t="s">
        <v>51</v>
      </c>
      <c r="E20" s="19" t="s">
        <v>52</v>
      </c>
      <c r="G20" s="21">
        <f t="shared" si="1"/>
        <v>0</v>
      </c>
    </row>
    <row r="21" spans="1:7" x14ac:dyDescent="0.3">
      <c r="A21" s="16" t="s">
        <v>53</v>
      </c>
      <c r="B21" s="17">
        <v>800</v>
      </c>
      <c r="C21" s="29">
        <f t="shared" ref="C21:C35" si="2">B4/B21</f>
        <v>0</v>
      </c>
      <c r="E21" s="19" t="s">
        <v>54</v>
      </c>
      <c r="G21" s="21">
        <f t="shared" si="1"/>
        <v>0</v>
      </c>
    </row>
    <row r="22" spans="1:7" x14ac:dyDescent="0.3">
      <c r="A22" s="16" t="s">
        <v>55</v>
      </c>
      <c r="B22" s="17">
        <v>800</v>
      </c>
      <c r="C22" s="29">
        <f t="shared" si="2"/>
        <v>2.3568750000000001</v>
      </c>
      <c r="E22" s="19" t="s">
        <v>56</v>
      </c>
      <c r="G22" s="21">
        <f t="shared" si="1"/>
        <v>0</v>
      </c>
    </row>
    <row r="23" spans="1:7" x14ac:dyDescent="0.3">
      <c r="A23" s="16" t="s">
        <v>57</v>
      </c>
      <c r="B23" s="17">
        <v>450</v>
      </c>
      <c r="C23" s="29">
        <f t="shared" si="2"/>
        <v>0</v>
      </c>
      <c r="E23" s="19" t="s">
        <v>58</v>
      </c>
      <c r="G23" s="21">
        <f t="shared" si="1"/>
        <v>166.02718167539709</v>
      </c>
    </row>
    <row r="24" spans="1:7" x14ac:dyDescent="0.3">
      <c r="A24" s="16" t="s">
        <v>59</v>
      </c>
      <c r="B24" s="17">
        <v>2500</v>
      </c>
      <c r="C24" s="29">
        <f t="shared" si="2"/>
        <v>0</v>
      </c>
      <c r="E24" s="19" t="s">
        <v>60</v>
      </c>
      <c r="G24" s="21">
        <f t="shared" si="1"/>
        <v>0</v>
      </c>
    </row>
    <row r="25" spans="1:7" x14ac:dyDescent="0.3">
      <c r="A25" s="16" t="s">
        <v>61</v>
      </c>
      <c r="B25" s="17">
        <v>1800</v>
      </c>
      <c r="C25" s="29">
        <f t="shared" si="2"/>
        <v>0</v>
      </c>
      <c r="E25" s="19" t="s">
        <v>62</v>
      </c>
      <c r="G25" s="21">
        <f t="shared" si="1"/>
        <v>0</v>
      </c>
    </row>
    <row r="26" spans="1:7" x14ac:dyDescent="0.3">
      <c r="A26" s="16" t="s">
        <v>63</v>
      </c>
      <c r="B26" s="17">
        <v>1500</v>
      </c>
      <c r="C26" s="29">
        <f t="shared" si="2"/>
        <v>0</v>
      </c>
      <c r="E26" s="30"/>
      <c r="G26" s="31"/>
    </row>
    <row r="27" spans="1:7" ht="14.4" customHeight="1" x14ac:dyDescent="0.3">
      <c r="A27" s="16" t="s">
        <v>64</v>
      </c>
      <c r="B27" s="17">
        <v>300</v>
      </c>
      <c r="C27" s="29">
        <f t="shared" si="2"/>
        <v>0</v>
      </c>
      <c r="E27" s="136" t="s">
        <v>65</v>
      </c>
      <c r="F27" s="136"/>
      <c r="G27" s="136"/>
    </row>
    <row r="28" spans="1:7" x14ac:dyDescent="0.3">
      <c r="A28" s="16" t="s">
        <v>66</v>
      </c>
      <c r="B28" s="17">
        <v>1800</v>
      </c>
      <c r="C28" s="29">
        <f t="shared" si="2"/>
        <v>1.9293388888888889</v>
      </c>
      <c r="E28" s="19" t="s">
        <v>35</v>
      </c>
      <c r="F28" s="28"/>
      <c r="G28" s="21">
        <f>IF($B$59=0,0,B39*C39)</f>
        <v>0</v>
      </c>
    </row>
    <row r="29" spans="1:7" x14ac:dyDescent="0.3">
      <c r="A29" s="16" t="s">
        <v>67</v>
      </c>
      <c r="B29" s="17">
        <v>9000</v>
      </c>
      <c r="C29" s="29">
        <f t="shared" si="2"/>
        <v>0</v>
      </c>
      <c r="E29" s="19" t="s">
        <v>37</v>
      </c>
      <c r="F29" s="28"/>
      <c r="G29" s="21">
        <f>IF($B$59=0,0,B40*C40)</f>
        <v>0</v>
      </c>
    </row>
    <row r="30" spans="1:7" x14ac:dyDescent="0.3">
      <c r="A30" s="16" t="s">
        <v>68</v>
      </c>
      <c r="B30" s="17">
        <v>2700</v>
      </c>
      <c r="C30" s="29">
        <f t="shared" si="2"/>
        <v>0</v>
      </c>
      <c r="E30" s="19" t="s">
        <v>38</v>
      </c>
      <c r="F30" s="28"/>
      <c r="G30" s="21">
        <f>IF($B$59=0,0,B41*C41)</f>
        <v>0</v>
      </c>
    </row>
    <row r="31" spans="1:7" x14ac:dyDescent="0.3">
      <c r="A31" s="16" t="s">
        <v>69</v>
      </c>
      <c r="B31" s="17">
        <v>130</v>
      </c>
      <c r="C31" s="29">
        <f t="shared" si="2"/>
        <v>0</v>
      </c>
      <c r="E31" s="19" t="s">
        <v>40</v>
      </c>
      <c r="F31" s="28"/>
      <c r="G31" s="21">
        <f>IF($B$59=0,0,B42*C42)</f>
        <v>0</v>
      </c>
    </row>
    <row r="32" spans="1:7" x14ac:dyDescent="0.3">
      <c r="A32" s="16" t="s">
        <v>70</v>
      </c>
      <c r="B32" s="17">
        <v>300</v>
      </c>
      <c r="C32" s="29">
        <f t="shared" si="2"/>
        <v>0</v>
      </c>
      <c r="E32" s="19" t="s">
        <v>42</v>
      </c>
      <c r="G32" s="21">
        <f>IF($B$59=0,0,B43*C43)</f>
        <v>0</v>
      </c>
    </row>
    <row r="33" spans="1:10" x14ac:dyDescent="0.3">
      <c r="A33" s="16" t="s">
        <v>71</v>
      </c>
      <c r="B33" s="17">
        <v>380</v>
      </c>
      <c r="C33" s="29">
        <f t="shared" si="2"/>
        <v>0.40757894736842104</v>
      </c>
      <c r="E33" s="19" t="s">
        <v>44</v>
      </c>
      <c r="F33" s="28"/>
      <c r="G33" s="21">
        <f>IF($B$59=0,0,B44*C44)</f>
        <v>0</v>
      </c>
    </row>
    <row r="34" spans="1:10" x14ac:dyDescent="0.3">
      <c r="A34" s="16" t="s">
        <v>72</v>
      </c>
      <c r="B34" s="17">
        <v>160</v>
      </c>
      <c r="C34" s="29">
        <f t="shared" si="2"/>
        <v>0</v>
      </c>
      <c r="E34" s="19" t="s">
        <v>46</v>
      </c>
      <c r="F34" s="28"/>
      <c r="G34" s="21">
        <f>IF($B$59=0,0,B45*C45)</f>
        <v>0</v>
      </c>
    </row>
    <row r="35" spans="1:10" x14ac:dyDescent="0.3">
      <c r="A35" s="16" t="s">
        <v>73</v>
      </c>
      <c r="B35" s="17">
        <v>360</v>
      </c>
      <c r="C35" s="29">
        <f t="shared" si="2"/>
        <v>0</v>
      </c>
      <c r="E35" s="19" t="s">
        <v>48</v>
      </c>
      <c r="G35" s="21">
        <f>IF($B$59=0,0,B46*C46)</f>
        <v>0</v>
      </c>
    </row>
    <row r="36" spans="1:10" x14ac:dyDescent="0.3">
      <c r="A36" s="16" t="s">
        <v>74</v>
      </c>
      <c r="B36" s="32"/>
      <c r="C36" s="33">
        <f>SUM(C21:C35)</f>
        <v>4.6937928362573098</v>
      </c>
      <c r="E36" s="19" t="s">
        <v>49</v>
      </c>
      <c r="G36" s="21">
        <f>IF($B$59=0,0,B47*C47)</f>
        <v>0</v>
      </c>
    </row>
    <row r="37" spans="1:10" x14ac:dyDescent="0.3">
      <c r="C37" s="34"/>
      <c r="D37" s="35"/>
      <c r="E37" s="19" t="s">
        <v>52</v>
      </c>
      <c r="G37" s="21">
        <f>IF($B$59=0,0,B48*C48)</f>
        <v>0</v>
      </c>
    </row>
    <row r="38" spans="1:10" x14ac:dyDescent="0.3">
      <c r="A38" s="36"/>
      <c r="B38" s="37"/>
      <c r="C38" s="38"/>
      <c r="E38" s="19" t="s">
        <v>54</v>
      </c>
      <c r="G38" s="21">
        <f>IF($B$59=0,0,B49*C49)</f>
        <v>0</v>
      </c>
    </row>
    <row r="39" spans="1:10" x14ac:dyDescent="0.3">
      <c r="B39" s="39"/>
      <c r="C39" s="40"/>
      <c r="E39" s="19" t="s">
        <v>56</v>
      </c>
      <c r="G39" s="21">
        <f>IF($B$59=0,0,B50*C50)</f>
        <v>0</v>
      </c>
    </row>
    <row r="40" spans="1:10" x14ac:dyDescent="0.3">
      <c r="B40" s="39"/>
      <c r="C40" s="40"/>
      <c r="E40" s="19" t="s">
        <v>58</v>
      </c>
      <c r="G40" s="21">
        <f>IF($B$59=0,0,B51*C51)</f>
        <v>0</v>
      </c>
    </row>
    <row r="41" spans="1:10" x14ac:dyDescent="0.3">
      <c r="B41" s="39"/>
      <c r="C41" s="40"/>
      <c r="E41" s="19" t="s">
        <v>60</v>
      </c>
      <c r="G41" s="21">
        <f>IF($B$59=0,0,B52*C52)</f>
        <v>0</v>
      </c>
    </row>
    <row r="42" spans="1:10" x14ac:dyDescent="0.3">
      <c r="B42" s="39"/>
      <c r="C42" s="40"/>
      <c r="E42" s="19" t="s">
        <v>62</v>
      </c>
      <c r="G42" s="21">
        <f>IF($B$59=0,0,B53*C53)</f>
        <v>0</v>
      </c>
    </row>
    <row r="43" spans="1:10" x14ac:dyDescent="0.3">
      <c r="B43" s="39"/>
      <c r="C43" s="40"/>
      <c r="E43" s="30"/>
      <c r="G43" s="31"/>
    </row>
    <row r="44" spans="1:10" x14ac:dyDescent="0.3">
      <c r="B44" s="39"/>
      <c r="C44" s="40"/>
      <c r="E44" s="41" t="s">
        <v>75</v>
      </c>
      <c r="F44" s="42" t="s">
        <v>76</v>
      </c>
      <c r="G44" s="43" t="s">
        <v>77</v>
      </c>
    </row>
    <row r="45" spans="1:10" x14ac:dyDescent="0.3">
      <c r="B45" s="39"/>
      <c r="C45" s="40"/>
      <c r="E45" s="44" t="str">
        <f>"ÁREAS INTERNAS (R01 a R07): " &amp; TEXT(SUM(B4:B10),"#.##0,00") &amp; "M²"</f>
        <v>ÁREAS INTERNAS (R01 a R07): 1.885,50M²</v>
      </c>
      <c r="F45" s="45">
        <f>G45/(SUM(B4:B10))</f>
        <v>6.0071358213608033</v>
      </c>
      <c r="G45" s="46">
        <f>SUM(G11:G17)+SUM(G28:G34)</f>
        <v>11326.454591175794</v>
      </c>
      <c r="H45" s="47"/>
      <c r="I45" s="47"/>
      <c r="J45" s="47"/>
    </row>
    <row r="46" spans="1:10" x14ac:dyDescent="0.3">
      <c r="B46" s="39"/>
      <c r="C46" s="40"/>
      <c r="E46" s="44" t="str">
        <f>"ÁREAS EXTERNAS (R08 a R10): " &amp; TEXT(SUM(B11:B13),"#.##0,00") &amp; "M²"</f>
        <v>ÁREAS EXTERNAS (R08 a R10): 3.472,81M²</v>
      </c>
      <c r="F46" s="45">
        <f>G46/(SUM(B11:B13))</f>
        <v>2.669838142827023</v>
      </c>
      <c r="G46" s="46">
        <f>SUM(G18:G20)+SUM(G35:G37)</f>
        <v>9271.8406007911144</v>
      </c>
      <c r="H46" s="47"/>
      <c r="I46" s="47"/>
      <c r="J46" s="47"/>
    </row>
    <row r="47" spans="1:10" x14ac:dyDescent="0.3">
      <c r="B47" s="39"/>
      <c r="C47" s="40"/>
      <c r="E47" s="44" t="str">
        <f>"ESQUADRIAS (R11 a R13): " &amp; TEXT(SUM(B14:B16),"#.##0,00") &amp; "M²"</f>
        <v>ESQUADRIAS (R11 a R13): 154,88M²</v>
      </c>
      <c r="F47" s="45">
        <v>0</v>
      </c>
      <c r="G47" s="46">
        <f>SUM(G21:G23)+SUM(G38:G39)</f>
        <v>166.02718167539709</v>
      </c>
      <c r="H47" s="47"/>
      <c r="I47" s="47"/>
      <c r="J47" s="47"/>
    </row>
    <row r="48" spans="1:10" x14ac:dyDescent="0.3">
      <c r="B48" s="39"/>
      <c r="C48" s="40"/>
      <c r="E48" s="44" t="str">
        <f>"FACHADAS (R14 a R14): " &amp; TEXT(SUM(B17),"#.##0,00") &amp; "M²"</f>
        <v>FACHADAS (R14 a R14): 0,00M²</v>
      </c>
      <c r="F48" s="48">
        <f>IFERROR((G48/SUM(B17)),)</f>
        <v>0</v>
      </c>
      <c r="G48" s="46">
        <f>SUM(G24)+SUM(G41)</f>
        <v>0</v>
      </c>
    </row>
    <row r="49" spans="1:10" x14ac:dyDescent="0.3">
      <c r="B49" s="39"/>
      <c r="C49" s="40"/>
      <c r="E49" s="44" t="str">
        <f>"ÁREAS HOSPITALARES (R15 a R15): " &amp; TEXT(SUM(B18),"#.##0,00") &amp; "M²"</f>
        <v>ÁREAS HOSPITALARES (R15 a R15): 0,00M²</v>
      </c>
      <c r="F49" s="45">
        <f>IFERROR((G49/SUM(B18)),)</f>
        <v>0</v>
      </c>
      <c r="G49" s="46">
        <f>SUM(G25)+SUM(G42)</f>
        <v>0</v>
      </c>
      <c r="H49" s="47"/>
      <c r="I49" s="47"/>
      <c r="J49" s="47"/>
    </row>
    <row r="50" spans="1:10" x14ac:dyDescent="0.3">
      <c r="B50" s="39"/>
      <c r="C50" s="40"/>
      <c r="E50" s="49"/>
      <c r="F50" s="50"/>
      <c r="G50" s="51"/>
    </row>
    <row r="51" spans="1:10" x14ac:dyDescent="0.3">
      <c r="B51" s="39"/>
      <c r="C51" s="40"/>
      <c r="E51" s="52" t="s">
        <v>78</v>
      </c>
      <c r="F51" s="53"/>
      <c r="G51" s="46">
        <f>ENCARREGADO!C131</f>
        <v>5675.3195357211562</v>
      </c>
    </row>
    <row r="52" spans="1:10" x14ac:dyDescent="0.3">
      <c r="B52" s="39"/>
      <c r="C52" s="40"/>
      <c r="E52" s="54" t="s">
        <v>79</v>
      </c>
      <c r="F52" s="53"/>
      <c r="G52" s="46">
        <f>SUM(G45:G49)+G51</f>
        <v>26439.641909363458</v>
      </c>
      <c r="I52" s="47"/>
      <c r="J52" s="47"/>
    </row>
    <row r="53" spans="1:10" x14ac:dyDescent="0.3">
      <c r="B53" s="39"/>
      <c r="C53" s="40"/>
      <c r="E53" s="54"/>
      <c r="F53" s="55"/>
      <c r="G53" s="56"/>
    </row>
    <row r="54" spans="1:10" x14ac:dyDescent="0.3">
      <c r="E54" s="57" t="s">
        <v>80</v>
      </c>
      <c r="F54" s="58"/>
      <c r="G54" s="59">
        <f>G52*12</f>
        <v>317275.70291236148</v>
      </c>
      <c r="I54" s="47"/>
    </row>
    <row r="56" spans="1:10" ht="18" x14ac:dyDescent="0.35">
      <c r="A56" s="36"/>
      <c r="B56" s="37"/>
      <c r="C56" s="38"/>
      <c r="G56" s="60"/>
    </row>
    <row r="57" spans="1:10" x14ac:dyDescent="0.3">
      <c r="A57" s="61"/>
      <c r="B57" s="62"/>
      <c r="C57" s="63"/>
    </row>
    <row r="58" spans="1:10" x14ac:dyDescent="0.3">
      <c r="B58" s="64"/>
      <c r="C58" s="27"/>
      <c r="G58" s="65"/>
    </row>
    <row r="59" spans="1:10" x14ac:dyDescent="0.3">
      <c r="B59" s="64"/>
      <c r="C59" s="66"/>
    </row>
    <row r="60" spans="1:10" x14ac:dyDescent="0.3">
      <c r="B60" s="39"/>
      <c r="C60" s="67"/>
    </row>
    <row r="61" spans="1:10" x14ac:dyDescent="0.3">
      <c r="B61" s="39"/>
      <c r="C61" s="67"/>
      <c r="G61" s="65"/>
    </row>
    <row r="62" spans="1:10" x14ac:dyDescent="0.3">
      <c r="B62" s="39"/>
      <c r="C62" s="67"/>
    </row>
    <row r="63" spans="1:10" x14ac:dyDescent="0.3">
      <c r="B63" s="39"/>
      <c r="C63" s="67"/>
    </row>
    <row r="64" spans="1:10" x14ac:dyDescent="0.3">
      <c r="B64" s="39"/>
      <c r="C64" s="67"/>
    </row>
    <row r="65" spans="2:3" x14ac:dyDescent="0.3">
      <c r="B65" s="39"/>
      <c r="C65" s="67"/>
    </row>
    <row r="66" spans="2:3" x14ac:dyDescent="0.3">
      <c r="B66" s="39"/>
      <c r="C66" s="67"/>
    </row>
    <row r="67" spans="2:3" x14ac:dyDescent="0.3">
      <c r="B67" s="39"/>
      <c r="C67" s="67"/>
    </row>
    <row r="68" spans="2:3" x14ac:dyDescent="0.3">
      <c r="B68" s="39"/>
      <c r="C68" s="67"/>
    </row>
    <row r="69" spans="2:3" x14ac:dyDescent="0.3">
      <c r="B69" s="39"/>
      <c r="C69" s="67"/>
    </row>
    <row r="70" spans="2:3" x14ac:dyDescent="0.3">
      <c r="B70" s="39"/>
      <c r="C70" s="67"/>
    </row>
    <row r="71" spans="2:3" x14ac:dyDescent="0.3">
      <c r="B71" s="39"/>
      <c r="C71" s="67"/>
    </row>
    <row r="72" spans="2:3" x14ac:dyDescent="0.3">
      <c r="B72" s="39"/>
      <c r="C72" s="67"/>
    </row>
    <row r="73" spans="2:3" x14ac:dyDescent="0.3">
      <c r="B73" s="39"/>
      <c r="C73" s="67"/>
    </row>
    <row r="74" spans="2:3" x14ac:dyDescent="0.3">
      <c r="B74" s="39"/>
      <c r="C74" s="67"/>
    </row>
    <row r="75" spans="2:3" x14ac:dyDescent="0.3">
      <c r="C75" s="68"/>
    </row>
    <row r="76" spans="2:3" x14ac:dyDescent="0.3">
      <c r="C76" s="34"/>
    </row>
  </sheetData>
  <mergeCells count="4">
    <mergeCell ref="A1:G1"/>
    <mergeCell ref="E3:G3"/>
    <mergeCell ref="E10:G10"/>
    <mergeCell ref="E27:G27"/>
  </mergeCells>
  <pageMargins left="0.51180555555555496" right="0.51180555555555496" top="0.39374999999999999" bottom="0.39374999999999999" header="0.51180555555555496" footer="0.51180555555555496"/>
  <pageSetup paperSize="9" scale="60" orientation="landscape" horizontalDpi="300" verticalDpi="300"/>
  <rowBreaks count="1" manualBreakCount="1">
    <brk id="54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AMJ134"/>
  <sheetViews>
    <sheetView topLeftCell="A61" zoomScaleNormal="100" workbookViewId="0">
      <selection activeCell="C71" sqref="C71"/>
    </sheetView>
  </sheetViews>
  <sheetFormatPr defaultColWidth="9.109375" defaultRowHeight="15.6" x14ac:dyDescent="0.3"/>
  <cols>
    <col min="1" max="1" width="9.109375" style="69"/>
    <col min="2" max="2" width="79.33203125" style="69" customWidth="1"/>
    <col min="3" max="3" width="26.88671875" style="69" customWidth="1"/>
    <col min="4" max="4" width="22.33203125" style="69" customWidth="1"/>
    <col min="5" max="5" width="12.6640625" style="69" customWidth="1"/>
    <col min="6" max="6" width="12" style="69" customWidth="1"/>
    <col min="7" max="7" width="15.109375" style="69" customWidth="1"/>
    <col min="8" max="8" width="10.6640625" style="69" customWidth="1"/>
    <col min="9" max="1024" width="9.109375" style="69"/>
  </cols>
  <sheetData>
    <row r="1" spans="1:4" ht="22.8" x14ac:dyDescent="0.4">
      <c r="A1" s="137" t="s">
        <v>81</v>
      </c>
      <c r="B1" s="137"/>
      <c r="C1" s="137"/>
      <c r="D1" s="137"/>
    </row>
    <row r="2" spans="1:4" ht="22.8" x14ac:dyDescent="0.4">
      <c r="A2" s="137" t="s">
        <v>82</v>
      </c>
      <c r="B2" s="137"/>
      <c r="C2" s="137"/>
      <c r="D2" s="137"/>
    </row>
    <row r="3" spans="1:4" x14ac:dyDescent="0.3">
      <c r="A3" s="138" t="s">
        <v>83</v>
      </c>
      <c r="B3" s="138"/>
      <c r="C3" s="138"/>
      <c r="D3" s="138"/>
    </row>
    <row r="4" spans="1:4" x14ac:dyDescent="0.3">
      <c r="A4" s="70" t="s">
        <v>84</v>
      </c>
      <c r="B4" s="71"/>
      <c r="C4" s="139" t="s">
        <v>321</v>
      </c>
      <c r="D4" s="139"/>
    </row>
    <row r="5" spans="1:4" ht="15.75" customHeight="1" x14ac:dyDescent="0.3">
      <c r="A5" s="140" t="s">
        <v>318</v>
      </c>
      <c r="B5" s="140"/>
      <c r="C5" s="140"/>
      <c r="D5" s="140"/>
    </row>
    <row r="6" spans="1:4" ht="15.6" customHeight="1" x14ac:dyDescent="0.3">
      <c r="A6" s="70" t="s">
        <v>85</v>
      </c>
      <c r="B6" s="71"/>
      <c r="C6" s="141" t="s">
        <v>322</v>
      </c>
      <c r="D6" s="141"/>
    </row>
    <row r="7" spans="1:4" x14ac:dyDescent="0.3">
      <c r="B7" s="72"/>
      <c r="C7" s="73"/>
    </row>
    <row r="8" spans="1:4" x14ac:dyDescent="0.3">
      <c r="A8" s="142" t="s">
        <v>86</v>
      </c>
      <c r="B8" s="142"/>
      <c r="C8" s="142"/>
      <c r="D8" s="142"/>
    </row>
    <row r="10" spans="1:4" x14ac:dyDescent="0.3">
      <c r="A10" s="1">
        <v>1</v>
      </c>
      <c r="B10" s="74" t="s">
        <v>87</v>
      </c>
      <c r="C10" s="74" t="s">
        <v>88</v>
      </c>
    </row>
    <row r="11" spans="1:4" x14ac:dyDescent="0.3">
      <c r="A11" s="75" t="s">
        <v>89</v>
      </c>
      <c r="B11" s="76" t="s">
        <v>90</v>
      </c>
      <c r="C11" s="77">
        <v>1679.8</v>
      </c>
    </row>
    <row r="12" spans="1:4" x14ac:dyDescent="0.3">
      <c r="A12" s="75" t="s">
        <v>91</v>
      </c>
      <c r="B12" s="76" t="s">
        <v>92</v>
      </c>
      <c r="C12" s="78"/>
    </row>
    <row r="13" spans="1:4" x14ac:dyDescent="0.3">
      <c r="A13" s="75" t="s">
        <v>93</v>
      </c>
      <c r="B13" s="76" t="s">
        <v>94</v>
      </c>
      <c r="C13" s="78"/>
    </row>
    <row r="14" spans="1:4" x14ac:dyDescent="0.3">
      <c r="A14" s="75" t="s">
        <v>95</v>
      </c>
      <c r="B14" s="76" t="s">
        <v>96</v>
      </c>
      <c r="C14" s="78"/>
    </row>
    <row r="15" spans="1:4" x14ac:dyDescent="0.3">
      <c r="A15" s="75" t="s">
        <v>97</v>
      </c>
      <c r="B15" s="76" t="s">
        <v>98</v>
      </c>
      <c r="C15" s="78"/>
    </row>
    <row r="16" spans="1:4" x14ac:dyDescent="0.3">
      <c r="A16" s="75" t="s">
        <v>99</v>
      </c>
      <c r="B16" s="76" t="s">
        <v>100</v>
      </c>
      <c r="C16" s="78"/>
    </row>
    <row r="17" spans="1:4" x14ac:dyDescent="0.3">
      <c r="A17" s="75" t="s">
        <v>101</v>
      </c>
      <c r="B17" s="76" t="s">
        <v>102</v>
      </c>
      <c r="C17" s="78">
        <v>235</v>
      </c>
    </row>
    <row r="18" spans="1:4" ht="16.2" customHeight="1" x14ac:dyDescent="0.3">
      <c r="A18" s="143" t="s">
        <v>103</v>
      </c>
      <c r="B18" s="143"/>
      <c r="C18" s="79">
        <f>SUM(C11:C17)</f>
        <v>1914.8</v>
      </c>
    </row>
    <row r="20" spans="1:4" x14ac:dyDescent="0.3">
      <c r="A20" s="142" t="s">
        <v>104</v>
      </c>
      <c r="B20" s="142"/>
      <c r="C20" s="142"/>
      <c r="D20" s="142"/>
    </row>
    <row r="21" spans="1:4" x14ac:dyDescent="0.3">
      <c r="A21" s="80"/>
    </row>
    <row r="22" spans="1:4" x14ac:dyDescent="0.3">
      <c r="A22" s="144" t="s">
        <v>105</v>
      </c>
      <c r="B22" s="144"/>
      <c r="C22" s="144"/>
      <c r="D22" s="144"/>
    </row>
    <row r="24" spans="1:4" x14ac:dyDescent="0.3">
      <c r="A24" s="1" t="s">
        <v>106</v>
      </c>
      <c r="B24" s="74" t="s">
        <v>107</v>
      </c>
      <c r="C24" s="74" t="s">
        <v>108</v>
      </c>
      <c r="D24" s="74" t="s">
        <v>88</v>
      </c>
    </row>
    <row r="25" spans="1:4" x14ac:dyDescent="0.3">
      <c r="A25" s="75" t="s">
        <v>89</v>
      </c>
      <c r="B25" s="76" t="s">
        <v>109</v>
      </c>
      <c r="C25" s="81">
        <f>1/12</f>
        <v>8.3333333333333329E-2</v>
      </c>
      <c r="D25" s="78">
        <f>ROUND(C25*C18,2)</f>
        <v>159.57</v>
      </c>
    </row>
    <row r="26" spans="1:4" x14ac:dyDescent="0.3">
      <c r="A26" s="75" t="s">
        <v>91</v>
      </c>
      <c r="B26" s="76" t="s">
        <v>110</v>
      </c>
      <c r="C26" s="81">
        <f>1/12</f>
        <v>8.3333333333333329E-2</v>
      </c>
      <c r="D26" s="78">
        <f>$C$18*C26</f>
        <v>159.56666666666666</v>
      </c>
    </row>
    <row r="27" spans="1:4" x14ac:dyDescent="0.3">
      <c r="A27" s="75" t="s">
        <v>93</v>
      </c>
      <c r="B27" s="76" t="s">
        <v>111</v>
      </c>
      <c r="C27" s="81">
        <f>(1/3)/12</f>
        <v>2.7777777777777776E-2</v>
      </c>
      <c r="D27" s="78">
        <f>$C$18*C27</f>
        <v>53.188888888888883</v>
      </c>
    </row>
    <row r="28" spans="1:4" ht="16.2" customHeight="1" x14ac:dyDescent="0.3">
      <c r="A28" s="143" t="s">
        <v>103</v>
      </c>
      <c r="B28" s="143"/>
      <c r="C28" s="81">
        <f>C25+C26+C27</f>
        <v>0.19444444444444442</v>
      </c>
      <c r="D28" s="78">
        <f>SUM(D25:D27)</f>
        <v>372.32555555555552</v>
      </c>
    </row>
    <row r="30" spans="1:4" ht="32.25" customHeight="1" x14ac:dyDescent="0.3">
      <c r="A30" s="145" t="s">
        <v>112</v>
      </c>
      <c r="B30" s="145"/>
      <c r="C30" s="145"/>
      <c r="D30" s="145"/>
    </row>
    <row r="32" spans="1:4" x14ac:dyDescent="0.3">
      <c r="A32" s="1" t="s">
        <v>113</v>
      </c>
      <c r="B32" s="74" t="s">
        <v>114</v>
      </c>
      <c r="C32" s="74" t="s">
        <v>108</v>
      </c>
      <c r="D32" s="74" t="s">
        <v>88</v>
      </c>
    </row>
    <row r="33" spans="1:4" x14ac:dyDescent="0.3">
      <c r="A33" s="75" t="s">
        <v>89</v>
      </c>
      <c r="B33" s="76" t="s">
        <v>115</v>
      </c>
      <c r="C33" s="82">
        <f>SUM(C34:C40)</f>
        <v>0.28800000000000003</v>
      </c>
      <c r="D33" s="78">
        <f>($C$18+$D$28)*C33</f>
        <v>658.69216000000006</v>
      </c>
    </row>
    <row r="34" spans="1:4" x14ac:dyDescent="0.3">
      <c r="A34" s="75" t="s">
        <v>116</v>
      </c>
      <c r="B34" s="83" t="s">
        <v>117</v>
      </c>
      <c r="C34" s="81">
        <v>0.2</v>
      </c>
      <c r="D34" s="78"/>
    </row>
    <row r="35" spans="1:4" x14ac:dyDescent="0.3">
      <c r="A35" s="75" t="s">
        <v>118</v>
      </c>
      <c r="B35" s="83" t="s">
        <v>119</v>
      </c>
      <c r="C35" s="81">
        <v>2.5000000000000001E-2</v>
      </c>
      <c r="D35" s="78"/>
    </row>
    <row r="36" spans="1:4" x14ac:dyDescent="0.3">
      <c r="A36" s="75" t="s">
        <v>120</v>
      </c>
      <c r="B36" s="83" t="s">
        <v>121</v>
      </c>
      <c r="C36" s="133">
        <v>0.03</v>
      </c>
      <c r="D36" s="78"/>
    </row>
    <row r="37" spans="1:4" x14ac:dyDescent="0.3">
      <c r="A37" s="75" t="s">
        <v>122</v>
      </c>
      <c r="B37" s="83" t="s">
        <v>123</v>
      </c>
      <c r="C37" s="81">
        <v>1.4999999999999999E-2</v>
      </c>
      <c r="D37" s="78"/>
    </row>
    <row r="38" spans="1:4" x14ac:dyDescent="0.3">
      <c r="A38" s="75" t="s">
        <v>124</v>
      </c>
      <c r="B38" s="83" t="s">
        <v>125</v>
      </c>
      <c r="C38" s="81">
        <v>0.01</v>
      </c>
      <c r="D38" s="78"/>
    </row>
    <row r="39" spans="1:4" x14ac:dyDescent="0.3">
      <c r="A39" s="75" t="s">
        <v>126</v>
      </c>
      <c r="B39" s="83" t="s">
        <v>127</v>
      </c>
      <c r="C39" s="81">
        <v>6.0000000000000001E-3</v>
      </c>
      <c r="D39" s="78"/>
    </row>
    <row r="40" spans="1:4" x14ac:dyDescent="0.3">
      <c r="A40" s="75" t="s">
        <v>128</v>
      </c>
      <c r="B40" s="83" t="s">
        <v>129</v>
      </c>
      <c r="C40" s="81">
        <v>2E-3</v>
      </c>
      <c r="D40" s="78"/>
    </row>
    <row r="41" spans="1:4" x14ac:dyDescent="0.3">
      <c r="A41" s="75" t="s">
        <v>91</v>
      </c>
      <c r="B41" s="76" t="s">
        <v>130</v>
      </c>
      <c r="C41" s="81">
        <v>0.08</v>
      </c>
      <c r="D41" s="78">
        <f>($C$18+$D$28)*C41</f>
        <v>182.97004444444443</v>
      </c>
    </row>
    <row r="42" spans="1:4" ht="16.2" customHeight="1" x14ac:dyDescent="0.3">
      <c r="A42" s="143" t="s">
        <v>131</v>
      </c>
      <c r="B42" s="143"/>
      <c r="C42" s="81">
        <f>C33+C41</f>
        <v>0.36800000000000005</v>
      </c>
      <c r="D42" s="78">
        <f>SUM(D33:D41)</f>
        <v>841.66220444444446</v>
      </c>
    </row>
    <row r="44" spans="1:4" x14ac:dyDescent="0.3">
      <c r="A44" s="144" t="s">
        <v>132</v>
      </c>
      <c r="B44" s="144"/>
      <c r="C44" s="144"/>
      <c r="D44" s="144"/>
    </row>
    <row r="46" spans="1:4" x14ac:dyDescent="0.3">
      <c r="A46" s="1" t="s">
        <v>133</v>
      </c>
      <c r="B46" s="74" t="s">
        <v>134</v>
      </c>
      <c r="C46" s="74" t="s">
        <v>108</v>
      </c>
      <c r="D46" s="74" t="s">
        <v>88</v>
      </c>
    </row>
    <row r="47" spans="1:4" x14ac:dyDescent="0.3">
      <c r="A47" s="75" t="s">
        <v>89</v>
      </c>
      <c r="B47" s="76" t="s">
        <v>135</v>
      </c>
      <c r="C47" s="84">
        <v>4.6500000000000004</v>
      </c>
      <c r="D47" s="85">
        <f>44*C47</f>
        <v>204.60000000000002</v>
      </c>
    </row>
    <row r="48" spans="1:4" x14ac:dyDescent="0.3">
      <c r="A48" s="75" t="s">
        <v>91</v>
      </c>
      <c r="B48" s="76" t="s">
        <v>136</v>
      </c>
      <c r="C48" s="86">
        <v>0.06</v>
      </c>
      <c r="D48" s="85">
        <f>-(C18*6%)</f>
        <v>-114.88799999999999</v>
      </c>
    </row>
    <row r="49" spans="1:4" x14ac:dyDescent="0.3">
      <c r="A49" s="75" t="s">
        <v>93</v>
      </c>
      <c r="B49" s="76" t="s">
        <v>137</v>
      </c>
      <c r="C49" s="84">
        <v>550</v>
      </c>
      <c r="D49" s="77">
        <f>C49</f>
        <v>550</v>
      </c>
    </row>
    <row r="50" spans="1:4" x14ac:dyDescent="0.3">
      <c r="A50" s="75" t="s">
        <v>95</v>
      </c>
      <c r="B50" s="76" t="s">
        <v>138</v>
      </c>
      <c r="C50" s="86">
        <v>0.2</v>
      </c>
      <c r="D50" s="85">
        <f>-D49*0.2</f>
        <v>-110</v>
      </c>
    </row>
    <row r="51" spans="1:4" x14ac:dyDescent="0.3">
      <c r="A51" s="75" t="s">
        <v>97</v>
      </c>
      <c r="B51" s="76" t="s">
        <v>139</v>
      </c>
      <c r="C51" s="84"/>
      <c r="D51" s="77">
        <v>22</v>
      </c>
    </row>
    <row r="52" spans="1:4" x14ac:dyDescent="0.3">
      <c r="A52" s="75" t="s">
        <v>140</v>
      </c>
      <c r="B52" s="76" t="s">
        <v>141</v>
      </c>
      <c r="C52" s="84"/>
      <c r="D52" s="77">
        <v>6</v>
      </c>
    </row>
    <row r="53" spans="1:4" x14ac:dyDescent="0.3">
      <c r="A53" s="75" t="s">
        <v>101</v>
      </c>
      <c r="B53" s="76" t="s">
        <v>142</v>
      </c>
      <c r="C53" s="84"/>
      <c r="D53" s="77">
        <v>6</v>
      </c>
    </row>
    <row r="54" spans="1:4" x14ac:dyDescent="0.3">
      <c r="A54" s="75" t="s">
        <v>143</v>
      </c>
      <c r="B54" s="76" t="s">
        <v>144</v>
      </c>
      <c r="C54" s="84"/>
      <c r="D54" s="77">
        <v>40</v>
      </c>
    </row>
    <row r="55" spans="1:4" ht="16.2" customHeight="1" x14ac:dyDescent="0.3">
      <c r="A55" s="143" t="s">
        <v>103</v>
      </c>
      <c r="B55" s="143"/>
      <c r="C55" s="84"/>
      <c r="D55" s="78">
        <f>SUM(D47:D54)</f>
        <v>603.71199999999999</v>
      </c>
    </row>
    <row r="57" spans="1:4" x14ac:dyDescent="0.3">
      <c r="A57" s="144" t="s">
        <v>145</v>
      </c>
      <c r="B57" s="144"/>
      <c r="C57" s="144"/>
      <c r="D57" s="144"/>
    </row>
    <row r="59" spans="1:4" x14ac:dyDescent="0.3">
      <c r="A59" s="1">
        <v>2</v>
      </c>
      <c r="B59" s="74" t="s">
        <v>146</v>
      </c>
      <c r="C59" s="74" t="s">
        <v>88</v>
      </c>
    </row>
    <row r="60" spans="1:4" x14ac:dyDescent="0.3">
      <c r="A60" s="75" t="s">
        <v>106</v>
      </c>
      <c r="B60" s="76" t="s">
        <v>107</v>
      </c>
      <c r="C60" s="78">
        <f>D28</f>
        <v>372.32555555555552</v>
      </c>
    </row>
    <row r="61" spans="1:4" x14ac:dyDescent="0.3">
      <c r="A61" s="75" t="s">
        <v>113</v>
      </c>
      <c r="B61" s="76" t="s">
        <v>114</v>
      </c>
      <c r="C61" s="78">
        <f>D42</f>
        <v>841.66220444444446</v>
      </c>
    </row>
    <row r="62" spans="1:4" x14ac:dyDescent="0.3">
      <c r="A62" s="75" t="s">
        <v>133</v>
      </c>
      <c r="B62" s="76" t="s">
        <v>134</v>
      </c>
      <c r="C62" s="78">
        <f>D55</f>
        <v>603.71199999999999</v>
      </c>
    </row>
    <row r="63" spans="1:4" ht="16.2" customHeight="1" x14ac:dyDescent="0.3">
      <c r="A63" s="143" t="s">
        <v>103</v>
      </c>
      <c r="B63" s="143"/>
      <c r="C63" s="78">
        <f>SUM(C60:C62)</f>
        <v>1817.69976</v>
      </c>
    </row>
    <row r="64" spans="1:4" x14ac:dyDescent="0.3">
      <c r="A64" s="87"/>
    </row>
    <row r="65" spans="1:4" x14ac:dyDescent="0.3">
      <c r="A65" s="142" t="s">
        <v>147</v>
      </c>
      <c r="B65" s="142"/>
      <c r="C65" s="142"/>
      <c r="D65" s="142"/>
    </row>
    <row r="67" spans="1:4" x14ac:dyDescent="0.3">
      <c r="A67" s="1">
        <v>3</v>
      </c>
      <c r="B67" s="74" t="s">
        <v>148</v>
      </c>
      <c r="C67" s="74" t="s">
        <v>108</v>
      </c>
      <c r="D67" s="74" t="s">
        <v>88</v>
      </c>
    </row>
    <row r="68" spans="1:4" x14ac:dyDescent="0.3">
      <c r="A68" s="75" t="s">
        <v>89</v>
      </c>
      <c r="B68" s="88" t="s">
        <v>149</v>
      </c>
      <c r="C68" s="89">
        <f>20.19%*(1/12)</f>
        <v>1.6825E-2</v>
      </c>
      <c r="D68" s="78">
        <f>C68*($C$18+$C$63-$D$33)</f>
        <v>51.716812869999991</v>
      </c>
    </row>
    <row r="69" spans="1:4" x14ac:dyDescent="0.3">
      <c r="A69" s="75" t="s">
        <v>91</v>
      </c>
      <c r="B69" s="88" t="s">
        <v>150</v>
      </c>
      <c r="C69" s="89">
        <f>C41*C68</f>
        <v>1.346E-3</v>
      </c>
      <c r="D69" s="78">
        <f>C69*($C$18+$C$63-$D$33)</f>
        <v>4.1373450295999996</v>
      </c>
    </row>
    <row r="70" spans="1:4" x14ac:dyDescent="0.3">
      <c r="A70" s="75" t="s">
        <v>93</v>
      </c>
      <c r="B70" s="88" t="s">
        <v>151</v>
      </c>
      <c r="C70" s="89">
        <v>0</v>
      </c>
      <c r="D70" s="78">
        <f>C70*($C$18+$C$63-$D$33)</f>
        <v>0</v>
      </c>
    </row>
    <row r="71" spans="1:4" x14ac:dyDescent="0.3">
      <c r="A71" s="75" t="s">
        <v>95</v>
      </c>
      <c r="B71" s="88" t="s">
        <v>152</v>
      </c>
      <c r="C71" s="89">
        <f>(20.19%*(7/30)/12)</f>
        <v>3.9258333333333341E-3</v>
      </c>
      <c r="D71" s="78">
        <f>C71*($C$18+$C$63)</f>
        <v>14.653171974466668</v>
      </c>
    </row>
    <row r="72" spans="1:4" ht="17.25" customHeight="1" x14ac:dyDescent="0.3">
      <c r="A72" s="75" t="s">
        <v>97</v>
      </c>
      <c r="B72" s="88" t="s">
        <v>153</v>
      </c>
      <c r="C72" s="89">
        <f>C42*C71</f>
        <v>1.4447066666666672E-3</v>
      </c>
      <c r="D72" s="78">
        <f>C72*($C$18+$C$63)</f>
        <v>5.3923672866037347</v>
      </c>
    </row>
    <row r="73" spans="1:4" x14ac:dyDescent="0.3">
      <c r="A73" s="75" t="s">
        <v>140</v>
      </c>
      <c r="B73" s="88" t="s">
        <v>154</v>
      </c>
      <c r="C73" s="89">
        <v>0.04</v>
      </c>
      <c r="D73" s="78">
        <f>C73*($C$18+$C$63)</f>
        <v>149.29999039999998</v>
      </c>
    </row>
    <row r="74" spans="1:4" ht="16.2" customHeight="1" x14ac:dyDescent="0.3">
      <c r="A74" s="143" t="s">
        <v>103</v>
      </c>
      <c r="B74" s="143"/>
      <c r="C74" s="89">
        <f>SUM(C68:C73)</f>
        <v>6.3541540000000007E-2</v>
      </c>
      <c r="D74" s="78">
        <f>SUM(D68:D73)</f>
        <v>225.19968756067038</v>
      </c>
    </row>
    <row r="75" spans="1:4" x14ac:dyDescent="0.3">
      <c r="A75" s="142" t="s">
        <v>155</v>
      </c>
      <c r="B75" s="142"/>
      <c r="C75" s="142"/>
      <c r="D75" s="142"/>
    </row>
    <row r="77" spans="1:4" x14ac:dyDescent="0.3">
      <c r="A77" s="144" t="s">
        <v>156</v>
      </c>
      <c r="B77" s="144"/>
      <c r="C77" s="144"/>
      <c r="D77" s="144"/>
    </row>
    <row r="78" spans="1:4" x14ac:dyDescent="0.3">
      <c r="A78" s="80"/>
    </row>
    <row r="79" spans="1:4" x14ac:dyDescent="0.3">
      <c r="A79" s="1" t="s">
        <v>157</v>
      </c>
      <c r="B79" s="74" t="s">
        <v>158</v>
      </c>
      <c r="C79" s="74" t="s">
        <v>108</v>
      </c>
      <c r="D79" s="74" t="s">
        <v>88</v>
      </c>
    </row>
    <row r="80" spans="1:4" x14ac:dyDescent="0.3">
      <c r="A80" s="75" t="s">
        <v>89</v>
      </c>
      <c r="B80" s="88" t="s">
        <v>110</v>
      </c>
      <c r="C80" s="90">
        <f>(1/12)</f>
        <v>8.3333333333333329E-2</v>
      </c>
      <c r="D80" s="78">
        <f>C80*($C$18+$C$63+$D$74)</f>
        <v>329.80828729672248</v>
      </c>
    </row>
    <row r="81" spans="1:4" x14ac:dyDescent="0.3">
      <c r="A81" s="75" t="s">
        <v>91</v>
      </c>
      <c r="B81" s="88" t="s">
        <v>159</v>
      </c>
      <c r="C81" s="90">
        <f>((8/30)/12)</f>
        <v>2.2222222222222223E-2</v>
      </c>
      <c r="D81" s="78">
        <f>C81*($C$18+$C$63+$D$74)</f>
        <v>87.948876612459344</v>
      </c>
    </row>
    <row r="82" spans="1:4" x14ac:dyDescent="0.3">
      <c r="A82" s="75" t="s">
        <v>93</v>
      </c>
      <c r="B82" s="88" t="s">
        <v>160</v>
      </c>
      <c r="C82" s="90">
        <f>(((20/30)/12)*1.5%)</f>
        <v>8.3333333333333328E-4</v>
      </c>
      <c r="D82" s="78">
        <f>C82*($C$18+$C$63+$D$74)</f>
        <v>3.2980828729672251</v>
      </c>
    </row>
    <row r="83" spans="1:4" x14ac:dyDescent="0.3">
      <c r="A83" s="75" t="s">
        <v>95</v>
      </c>
      <c r="B83" s="88" t="s">
        <v>161</v>
      </c>
      <c r="C83" s="90">
        <f>(((15/30)/12)*0.86%)</f>
        <v>3.5833333333333333E-4</v>
      </c>
      <c r="D83" s="78">
        <f>C83*($C$18+$C$63+$D$74)</f>
        <v>1.4181756353759067</v>
      </c>
    </row>
    <row r="84" spans="1:4" x14ac:dyDescent="0.3">
      <c r="A84" s="75" t="s">
        <v>97</v>
      </c>
      <c r="B84" s="88" t="s">
        <v>162</v>
      </c>
      <c r="C84" s="90">
        <f>((6/12)*C42*62.2%*81.2%*((1.86/31)/12))</f>
        <v>4.6465888000000007E-4</v>
      </c>
      <c r="D84" s="78">
        <f>C84*($C$18+$C$63+$D$74)</f>
        <v>1.8389801926801601</v>
      </c>
    </row>
    <row r="85" spans="1:4" ht="16.2" customHeight="1" x14ac:dyDescent="0.3">
      <c r="A85" s="143" t="s">
        <v>131</v>
      </c>
      <c r="B85" s="143"/>
      <c r="C85" s="90">
        <f>SUM(C80:C84)</f>
        <v>0.10721188110222223</v>
      </c>
      <c r="D85" s="78">
        <f>SUM(D80:D84)</f>
        <v>424.31240261020508</v>
      </c>
    </row>
    <row r="87" spans="1:4" x14ac:dyDescent="0.3">
      <c r="A87" s="144" t="s">
        <v>163</v>
      </c>
      <c r="B87" s="144"/>
      <c r="C87" s="144"/>
      <c r="D87" s="144"/>
    </row>
    <row r="88" spans="1:4" x14ac:dyDescent="0.3">
      <c r="A88" s="80"/>
    </row>
    <row r="89" spans="1:4" x14ac:dyDescent="0.3">
      <c r="A89" s="1" t="s">
        <v>164</v>
      </c>
      <c r="B89" s="74" t="s">
        <v>165</v>
      </c>
      <c r="C89" s="74" t="s">
        <v>108</v>
      </c>
      <c r="D89" s="74" t="s">
        <v>88</v>
      </c>
    </row>
    <row r="90" spans="1:4" x14ac:dyDescent="0.3">
      <c r="A90" s="75" t="s">
        <v>89</v>
      </c>
      <c r="B90" s="76" t="s">
        <v>166</v>
      </c>
      <c r="C90" s="91">
        <v>0</v>
      </c>
      <c r="D90" s="78">
        <f>C18*C90</f>
        <v>0</v>
      </c>
    </row>
    <row r="91" spans="1:4" ht="16.2" customHeight="1" x14ac:dyDescent="0.3">
      <c r="A91" s="143" t="s">
        <v>103</v>
      </c>
      <c r="B91" s="143"/>
      <c r="C91" s="91">
        <f>C90</f>
        <v>0</v>
      </c>
      <c r="D91" s="78">
        <f>D90</f>
        <v>0</v>
      </c>
    </row>
    <row r="93" spans="1:4" x14ac:dyDescent="0.3">
      <c r="A93" s="144" t="s">
        <v>167</v>
      </c>
      <c r="B93" s="144"/>
      <c r="C93" s="144"/>
      <c r="D93" s="144"/>
    </row>
    <row r="94" spans="1:4" x14ac:dyDescent="0.3">
      <c r="A94" s="80"/>
    </row>
    <row r="95" spans="1:4" x14ac:dyDescent="0.3">
      <c r="A95" s="1">
        <v>4</v>
      </c>
      <c r="B95" s="74" t="s">
        <v>168</v>
      </c>
      <c r="C95" s="74" t="s">
        <v>88</v>
      </c>
    </row>
    <row r="96" spans="1:4" x14ac:dyDescent="0.3">
      <c r="A96" s="75" t="s">
        <v>157</v>
      </c>
      <c r="B96" s="76" t="s">
        <v>169</v>
      </c>
      <c r="C96" s="78">
        <f>D85</f>
        <v>424.31240261020508</v>
      </c>
      <c r="D96" s="92"/>
    </row>
    <row r="97" spans="1:9" x14ac:dyDescent="0.3">
      <c r="A97" s="75" t="s">
        <v>164</v>
      </c>
      <c r="B97" s="76" t="s">
        <v>170</v>
      </c>
      <c r="C97" s="78">
        <f>D91</f>
        <v>0</v>
      </c>
      <c r="D97" s="92"/>
    </row>
    <row r="98" spans="1:9" ht="16.2" customHeight="1" x14ac:dyDescent="0.3">
      <c r="A98" s="143" t="s">
        <v>103</v>
      </c>
      <c r="B98" s="143"/>
      <c r="C98" s="78">
        <f>SUM(C96:C97)</f>
        <v>424.31240261020508</v>
      </c>
      <c r="D98" s="92"/>
    </row>
    <row r="100" spans="1:9" x14ac:dyDescent="0.3">
      <c r="A100" s="142" t="s">
        <v>171</v>
      </c>
      <c r="B100" s="142"/>
      <c r="C100" s="142"/>
      <c r="D100" s="142"/>
    </row>
    <row r="102" spans="1:9" x14ac:dyDescent="0.3">
      <c r="A102" s="1">
        <v>5</v>
      </c>
      <c r="B102" s="93" t="s">
        <v>172</v>
      </c>
      <c r="C102" s="74" t="s">
        <v>88</v>
      </c>
    </row>
    <row r="103" spans="1:9" x14ac:dyDescent="0.3">
      <c r="A103" s="75" t="s">
        <v>89</v>
      </c>
      <c r="B103" s="76" t="s">
        <v>173</v>
      </c>
      <c r="C103" s="84">
        <f>UNIFORME!H21</f>
        <v>113.14166666666669</v>
      </c>
    </row>
    <row r="104" spans="1:9" x14ac:dyDescent="0.3">
      <c r="A104" s="75" t="s">
        <v>91</v>
      </c>
      <c r="B104" s="76" t="s">
        <v>174</v>
      </c>
      <c r="C104" s="84">
        <v>0</v>
      </c>
    </row>
    <row r="105" spans="1:9" x14ac:dyDescent="0.3">
      <c r="A105" s="75" t="s">
        <v>93</v>
      </c>
      <c r="B105" s="76" t="s">
        <v>175</v>
      </c>
      <c r="C105" s="84">
        <v>0</v>
      </c>
    </row>
    <row r="106" spans="1:9" ht="16.2" customHeight="1" x14ac:dyDescent="0.3">
      <c r="A106" s="143" t="s">
        <v>131</v>
      </c>
      <c r="B106" s="143"/>
      <c r="C106" s="78">
        <f>C103+C104+C105</f>
        <v>113.14166666666669</v>
      </c>
    </row>
    <row r="108" spans="1:9" x14ac:dyDescent="0.3">
      <c r="A108" s="142" t="s">
        <v>176</v>
      </c>
      <c r="B108" s="142"/>
      <c r="C108" s="142"/>
      <c r="D108" s="142"/>
    </row>
    <row r="110" spans="1:9" x14ac:dyDescent="0.3">
      <c r="A110" s="1">
        <v>6</v>
      </c>
      <c r="B110" s="93" t="s">
        <v>177</v>
      </c>
      <c r="C110" s="74" t="s">
        <v>108</v>
      </c>
      <c r="D110" s="74" t="s">
        <v>88</v>
      </c>
    </row>
    <row r="111" spans="1:9" x14ac:dyDescent="0.3">
      <c r="A111" s="75" t="s">
        <v>89</v>
      </c>
      <c r="B111" s="76" t="s">
        <v>178</v>
      </c>
      <c r="C111" s="90">
        <v>0.08</v>
      </c>
      <c r="D111" s="78">
        <f>C111*C129</f>
        <v>359.61228134700337</v>
      </c>
    </row>
    <row r="112" spans="1:9" x14ac:dyDescent="0.3">
      <c r="A112" s="75" t="s">
        <v>91</v>
      </c>
      <c r="B112" s="76" t="s">
        <v>179</v>
      </c>
      <c r="C112" s="90">
        <v>6.7900000000000002E-2</v>
      </c>
      <c r="D112" s="78">
        <f>(D111+C129)*C112</f>
        <v>329.6385976967307</v>
      </c>
      <c r="I112" s="94"/>
    </row>
    <row r="113" spans="1:8" x14ac:dyDescent="0.3">
      <c r="A113" s="75" t="s">
        <v>93</v>
      </c>
      <c r="B113" s="76" t="s">
        <v>180</v>
      </c>
      <c r="C113" s="90">
        <f>C114+C117+C118</f>
        <v>8.6499999999999994E-2</v>
      </c>
      <c r="D113" s="78">
        <f>((D111+D112+C129)/(100%-C113))-(D111+D112+C129)</f>
        <v>490.91513983987988</v>
      </c>
    </row>
    <row r="114" spans="1:8" x14ac:dyDescent="0.3">
      <c r="A114" s="75" t="s">
        <v>181</v>
      </c>
      <c r="B114" s="76" t="s">
        <v>182</v>
      </c>
      <c r="C114" s="90">
        <f>SUM(C115:C116)</f>
        <v>3.6499999999999998E-2</v>
      </c>
      <c r="D114" s="95"/>
    </row>
    <row r="115" spans="1:8" x14ac:dyDescent="0.3">
      <c r="A115" s="75"/>
      <c r="B115" s="83" t="s">
        <v>183</v>
      </c>
      <c r="C115" s="90">
        <v>0.03</v>
      </c>
      <c r="D115" s="95"/>
    </row>
    <row r="116" spans="1:8" x14ac:dyDescent="0.3">
      <c r="A116" s="75"/>
      <c r="B116" s="83" t="s">
        <v>184</v>
      </c>
      <c r="C116" s="90">
        <v>6.4999999999999997E-3</v>
      </c>
      <c r="D116" s="95"/>
      <c r="H116" s="92"/>
    </row>
    <row r="117" spans="1:8" x14ac:dyDescent="0.3">
      <c r="A117" s="75" t="s">
        <v>185</v>
      </c>
      <c r="B117" s="83" t="s">
        <v>186</v>
      </c>
      <c r="C117" s="90">
        <v>0</v>
      </c>
      <c r="D117" s="95"/>
      <c r="F117" s="92"/>
      <c r="H117" s="92"/>
    </row>
    <row r="118" spans="1:8" x14ac:dyDescent="0.3">
      <c r="A118" s="75" t="s">
        <v>187</v>
      </c>
      <c r="B118" s="83" t="s">
        <v>188</v>
      </c>
      <c r="C118" s="90">
        <v>0.05</v>
      </c>
      <c r="D118" s="95"/>
      <c r="F118" s="92"/>
    </row>
    <row r="119" spans="1:8" ht="16.2" customHeight="1" x14ac:dyDescent="0.3">
      <c r="A119" s="143" t="s">
        <v>131</v>
      </c>
      <c r="B119" s="143"/>
      <c r="C119" s="81"/>
      <c r="D119" s="78">
        <f>D111+D112+D113</f>
        <v>1180.166018883614</v>
      </c>
    </row>
    <row r="120" spans="1:8" x14ac:dyDescent="0.3">
      <c r="F120" s="92"/>
    </row>
    <row r="121" spans="1:8" x14ac:dyDescent="0.3">
      <c r="A121" s="142" t="s">
        <v>189</v>
      </c>
      <c r="B121" s="142"/>
      <c r="C121" s="142"/>
      <c r="D121" s="142"/>
    </row>
    <row r="123" spans="1:8" x14ac:dyDescent="0.3">
      <c r="A123" s="1"/>
      <c r="B123" s="74" t="s">
        <v>190</v>
      </c>
      <c r="C123" s="74" t="s">
        <v>88</v>
      </c>
    </row>
    <row r="124" spans="1:8" x14ac:dyDescent="0.3">
      <c r="A124" s="96" t="s">
        <v>89</v>
      </c>
      <c r="B124" s="76" t="s">
        <v>191</v>
      </c>
      <c r="C124" s="97">
        <f>C18</f>
        <v>1914.8</v>
      </c>
    </row>
    <row r="125" spans="1:8" x14ac:dyDescent="0.3">
      <c r="A125" s="96" t="s">
        <v>91</v>
      </c>
      <c r="B125" s="76" t="s">
        <v>192</v>
      </c>
      <c r="C125" s="97">
        <f>C63</f>
        <v>1817.69976</v>
      </c>
    </row>
    <row r="126" spans="1:8" x14ac:dyDescent="0.3">
      <c r="A126" s="96" t="s">
        <v>93</v>
      </c>
      <c r="B126" s="76" t="s">
        <v>147</v>
      </c>
      <c r="C126" s="97">
        <f>D74</f>
        <v>225.19968756067038</v>
      </c>
    </row>
    <row r="127" spans="1:8" x14ac:dyDescent="0.3">
      <c r="A127" s="96" t="s">
        <v>95</v>
      </c>
      <c r="B127" s="76" t="s">
        <v>155</v>
      </c>
      <c r="C127" s="97">
        <f>C98</f>
        <v>424.31240261020508</v>
      </c>
    </row>
    <row r="128" spans="1:8" x14ac:dyDescent="0.3">
      <c r="A128" s="96" t="s">
        <v>97</v>
      </c>
      <c r="B128" s="76" t="s">
        <v>171</v>
      </c>
      <c r="C128" s="97">
        <f>C106</f>
        <v>113.14166666666669</v>
      </c>
    </row>
    <row r="129" spans="1:4" ht="16.2" customHeight="1" x14ac:dyDescent="0.3">
      <c r="A129" s="143" t="s">
        <v>193</v>
      </c>
      <c r="B129" s="143"/>
      <c r="C129" s="97">
        <f>SUM(C124:C128)</f>
        <v>4495.1535168375422</v>
      </c>
      <c r="D129" s="92"/>
    </row>
    <row r="130" spans="1:4" x14ac:dyDescent="0.3">
      <c r="A130" s="96" t="s">
        <v>140</v>
      </c>
      <c r="B130" s="76" t="s">
        <v>194</v>
      </c>
      <c r="C130" s="97">
        <f>D119</f>
        <v>1180.166018883614</v>
      </c>
    </row>
    <row r="131" spans="1:4" ht="16.2" customHeight="1" x14ac:dyDescent="0.3">
      <c r="A131" s="143" t="s">
        <v>195</v>
      </c>
      <c r="B131" s="143"/>
      <c r="C131" s="97">
        <f>C130+C129</f>
        <v>5675.3195357211562</v>
      </c>
      <c r="D131" s="92"/>
    </row>
    <row r="132" spans="1:4" x14ac:dyDescent="0.3">
      <c r="A132" s="98"/>
      <c r="B132" s="98"/>
      <c r="C132" s="99"/>
      <c r="D132" s="92"/>
    </row>
    <row r="133" spans="1:4" ht="33" customHeight="1" x14ac:dyDescent="0.3">
      <c r="A133" s="146" t="s">
        <v>196</v>
      </c>
      <c r="B133" s="146"/>
      <c r="C133" s="146"/>
      <c r="D133" s="146"/>
    </row>
    <row r="134" spans="1:4" ht="27.75" customHeight="1" x14ac:dyDescent="0.3">
      <c r="A134" s="146"/>
      <c r="B134" s="146"/>
      <c r="C134" s="146"/>
      <c r="D134" s="146"/>
    </row>
  </sheetData>
  <mergeCells count="34">
    <mergeCell ref="A121:D121"/>
    <mergeCell ref="A129:B129"/>
    <mergeCell ref="A131:B131"/>
    <mergeCell ref="A133:D134"/>
    <mergeCell ref="A98:B98"/>
    <mergeCell ref="A100:D100"/>
    <mergeCell ref="A106:B106"/>
    <mergeCell ref="A108:D108"/>
    <mergeCell ref="A119:B119"/>
    <mergeCell ref="A77:D77"/>
    <mergeCell ref="A85:B85"/>
    <mergeCell ref="A87:D87"/>
    <mergeCell ref="A91:B91"/>
    <mergeCell ref="A93:D93"/>
    <mergeCell ref="A57:D57"/>
    <mergeCell ref="A63:B63"/>
    <mergeCell ref="A65:D65"/>
    <mergeCell ref="A74:B74"/>
    <mergeCell ref="A75:D75"/>
    <mergeCell ref="A28:B28"/>
    <mergeCell ref="A30:D30"/>
    <mergeCell ref="A42:B42"/>
    <mergeCell ref="A44:D44"/>
    <mergeCell ref="A55:B55"/>
    <mergeCell ref="C6:D6"/>
    <mergeCell ref="A8:D8"/>
    <mergeCell ref="A18:B18"/>
    <mergeCell ref="A20:D20"/>
    <mergeCell ref="A22:D22"/>
    <mergeCell ref="A1:D1"/>
    <mergeCell ref="A2:D2"/>
    <mergeCell ref="A3:D3"/>
    <mergeCell ref="C4:D4"/>
    <mergeCell ref="A5:D5"/>
  </mergeCells>
  <pageMargins left="0.51180555555555496" right="0.51180555555555496" top="0.39374999999999999" bottom="0.39374999999999999" header="0.51180555555555496" footer="0.51180555555555496"/>
  <pageSetup paperSize="9" scale="6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AMJ134"/>
  <sheetViews>
    <sheetView topLeftCell="A61" zoomScaleNormal="100" workbookViewId="0">
      <selection activeCell="C105" sqref="C105"/>
    </sheetView>
  </sheetViews>
  <sheetFormatPr defaultColWidth="9.109375" defaultRowHeight="15.6" x14ac:dyDescent="0.3"/>
  <cols>
    <col min="1" max="1" width="9.109375" style="69"/>
    <col min="2" max="2" width="79.33203125" style="69" customWidth="1"/>
    <col min="3" max="3" width="26.88671875" style="69" customWidth="1"/>
    <col min="4" max="4" width="22.33203125" style="69" customWidth="1"/>
    <col min="5" max="5" width="12.6640625" style="69" customWidth="1"/>
    <col min="6" max="6" width="12" style="69" customWidth="1"/>
    <col min="7" max="7" width="15.109375" style="69" customWidth="1"/>
    <col min="8" max="8" width="10.6640625" style="69" customWidth="1"/>
    <col min="9" max="1024" width="9.109375" style="69"/>
  </cols>
  <sheetData>
    <row r="1" spans="1:4" ht="22.8" x14ac:dyDescent="0.4">
      <c r="A1" s="137" t="s">
        <v>81</v>
      </c>
      <c r="B1" s="137"/>
      <c r="C1" s="137"/>
      <c r="D1" s="137"/>
    </row>
    <row r="2" spans="1:4" ht="22.8" x14ac:dyDescent="0.4">
      <c r="A2" s="137" t="s">
        <v>82</v>
      </c>
      <c r="B2" s="137"/>
      <c r="C2" s="137"/>
      <c r="D2" s="137"/>
    </row>
    <row r="3" spans="1:4" x14ac:dyDescent="0.3">
      <c r="A3" s="138" t="s">
        <v>83</v>
      </c>
      <c r="B3" s="138"/>
      <c r="C3" s="138"/>
      <c r="D3" s="138"/>
    </row>
    <row r="4" spans="1:4" x14ac:dyDescent="0.3">
      <c r="A4" s="147" t="s">
        <v>84</v>
      </c>
      <c r="B4" s="148"/>
      <c r="C4" s="139" t="s">
        <v>321</v>
      </c>
      <c r="D4" s="139"/>
    </row>
    <row r="5" spans="1:4" ht="15.75" customHeight="1" x14ac:dyDescent="0.3">
      <c r="A5" s="140" t="s">
        <v>319</v>
      </c>
      <c r="B5" s="140"/>
      <c r="C5" s="140"/>
      <c r="D5" s="140"/>
    </row>
    <row r="6" spans="1:4" ht="15.6" customHeight="1" x14ac:dyDescent="0.3">
      <c r="A6" s="147" t="s">
        <v>85</v>
      </c>
      <c r="B6" s="148"/>
      <c r="C6" s="141" t="s">
        <v>322</v>
      </c>
      <c r="D6" s="141"/>
    </row>
    <row r="7" spans="1:4" x14ac:dyDescent="0.3">
      <c r="B7" s="72"/>
      <c r="C7" s="73"/>
    </row>
    <row r="8" spans="1:4" x14ac:dyDescent="0.3">
      <c r="A8" s="142" t="s">
        <v>86</v>
      </c>
      <c r="B8" s="142"/>
      <c r="C8" s="142"/>
      <c r="D8" s="142"/>
    </row>
    <row r="10" spans="1:4" x14ac:dyDescent="0.3">
      <c r="A10" s="1">
        <v>1</v>
      </c>
      <c r="B10" s="74" t="s">
        <v>87</v>
      </c>
      <c r="C10" s="74" t="s">
        <v>88</v>
      </c>
    </row>
    <row r="11" spans="1:4" x14ac:dyDescent="0.3">
      <c r="A11" s="75" t="s">
        <v>89</v>
      </c>
      <c r="B11" s="76" t="s">
        <v>329</v>
      </c>
      <c r="C11" s="77">
        <v>1518</v>
      </c>
    </row>
    <row r="12" spans="1:4" x14ac:dyDescent="0.3">
      <c r="A12" s="75" t="s">
        <v>91</v>
      </c>
      <c r="B12" s="76" t="s">
        <v>92</v>
      </c>
      <c r="C12" s="78"/>
    </row>
    <row r="13" spans="1:4" x14ac:dyDescent="0.3">
      <c r="A13" s="75" t="s">
        <v>93</v>
      </c>
      <c r="B13" s="76" t="s">
        <v>94</v>
      </c>
      <c r="C13" s="78"/>
    </row>
    <row r="14" spans="1:4" x14ac:dyDescent="0.3">
      <c r="A14" s="75" t="s">
        <v>95</v>
      </c>
      <c r="B14" s="76" t="s">
        <v>96</v>
      </c>
      <c r="C14" s="78"/>
    </row>
    <row r="15" spans="1:4" x14ac:dyDescent="0.3">
      <c r="A15" s="75" t="s">
        <v>97</v>
      </c>
      <c r="B15" s="76" t="s">
        <v>98</v>
      </c>
      <c r="C15" s="78"/>
    </row>
    <row r="16" spans="1:4" x14ac:dyDescent="0.3">
      <c r="A16" s="75" t="s">
        <v>99</v>
      </c>
      <c r="B16" s="76" t="s">
        <v>100</v>
      </c>
      <c r="C16" s="78"/>
    </row>
    <row r="17" spans="1:4" x14ac:dyDescent="0.3">
      <c r="A17" s="75" t="s">
        <v>101</v>
      </c>
      <c r="B17" s="76" t="s">
        <v>197</v>
      </c>
      <c r="C17" s="78"/>
    </row>
    <row r="18" spans="1:4" ht="16.2" customHeight="1" x14ac:dyDescent="0.3">
      <c r="A18" s="143" t="s">
        <v>103</v>
      </c>
      <c r="B18" s="143"/>
      <c r="C18" s="79">
        <f>SUM(C11:C17)</f>
        <v>1518</v>
      </c>
    </row>
    <row r="20" spans="1:4" x14ac:dyDescent="0.3">
      <c r="A20" s="142" t="s">
        <v>104</v>
      </c>
      <c r="B20" s="142"/>
      <c r="C20" s="142"/>
      <c r="D20" s="142"/>
    </row>
    <row r="21" spans="1:4" x14ac:dyDescent="0.3">
      <c r="A21" s="80"/>
    </row>
    <row r="22" spans="1:4" x14ac:dyDescent="0.3">
      <c r="A22" s="144" t="s">
        <v>105</v>
      </c>
      <c r="B22" s="144"/>
      <c r="C22" s="144"/>
      <c r="D22" s="144"/>
    </row>
    <row r="24" spans="1:4" x14ac:dyDescent="0.3">
      <c r="A24" s="1" t="s">
        <v>106</v>
      </c>
      <c r="B24" s="74" t="s">
        <v>107</v>
      </c>
      <c r="C24" s="74" t="s">
        <v>108</v>
      </c>
      <c r="D24" s="74" t="s">
        <v>88</v>
      </c>
    </row>
    <row r="25" spans="1:4" x14ac:dyDescent="0.3">
      <c r="A25" s="75" t="s">
        <v>89</v>
      </c>
      <c r="B25" s="76" t="s">
        <v>109</v>
      </c>
      <c r="C25" s="81">
        <f>1/12</f>
        <v>8.3333333333333329E-2</v>
      </c>
      <c r="D25" s="78">
        <f>ROUND(C25*C18,2)</f>
        <v>126.5</v>
      </c>
    </row>
    <row r="26" spans="1:4" x14ac:dyDescent="0.3">
      <c r="A26" s="75" t="s">
        <v>91</v>
      </c>
      <c r="B26" s="76" t="s">
        <v>110</v>
      </c>
      <c r="C26" s="81">
        <f>1/12</f>
        <v>8.3333333333333329E-2</v>
      </c>
      <c r="D26" s="78">
        <f>$C$18*C26</f>
        <v>126.5</v>
      </c>
    </row>
    <row r="27" spans="1:4" x14ac:dyDescent="0.3">
      <c r="A27" s="75" t="s">
        <v>93</v>
      </c>
      <c r="B27" s="76" t="s">
        <v>111</v>
      </c>
      <c r="C27" s="81">
        <f>(1/3)/12</f>
        <v>2.7777777777777776E-2</v>
      </c>
      <c r="D27" s="78">
        <f>$C$18*C27</f>
        <v>42.166666666666664</v>
      </c>
    </row>
    <row r="28" spans="1:4" ht="16.2" customHeight="1" x14ac:dyDescent="0.3">
      <c r="A28" s="143" t="s">
        <v>103</v>
      </c>
      <c r="B28" s="143"/>
      <c r="C28" s="81">
        <f>C25+C26+C27</f>
        <v>0.19444444444444442</v>
      </c>
      <c r="D28" s="78">
        <f>SUM(D25:D27)</f>
        <v>295.16666666666669</v>
      </c>
    </row>
    <row r="30" spans="1:4" ht="32.25" customHeight="1" x14ac:dyDescent="0.3">
      <c r="A30" s="145" t="s">
        <v>112</v>
      </c>
      <c r="B30" s="145"/>
      <c r="C30" s="145"/>
      <c r="D30" s="145"/>
    </row>
    <row r="32" spans="1:4" x14ac:dyDescent="0.3">
      <c r="A32" s="1" t="s">
        <v>113</v>
      </c>
      <c r="B32" s="74" t="s">
        <v>114</v>
      </c>
      <c r="C32" s="74" t="s">
        <v>108</v>
      </c>
      <c r="D32" s="74" t="s">
        <v>88</v>
      </c>
    </row>
    <row r="33" spans="1:4" x14ac:dyDescent="0.3">
      <c r="A33" s="75" t="s">
        <v>89</v>
      </c>
      <c r="B33" s="76" t="s">
        <v>115</v>
      </c>
      <c r="C33" s="82">
        <f>SUM(C34:C40)</f>
        <v>0.28800000000000003</v>
      </c>
      <c r="D33" s="78">
        <f>($C$18+$D$28)*C33</f>
        <v>522.19200000000012</v>
      </c>
    </row>
    <row r="34" spans="1:4" x14ac:dyDescent="0.3">
      <c r="A34" s="75" t="s">
        <v>116</v>
      </c>
      <c r="B34" s="83" t="s">
        <v>117</v>
      </c>
      <c r="C34" s="81">
        <v>0.2</v>
      </c>
      <c r="D34" s="78"/>
    </row>
    <row r="35" spans="1:4" x14ac:dyDescent="0.3">
      <c r="A35" s="75" t="s">
        <v>118</v>
      </c>
      <c r="B35" s="83" t="s">
        <v>119</v>
      </c>
      <c r="C35" s="81">
        <v>2.5000000000000001E-2</v>
      </c>
      <c r="D35" s="78"/>
    </row>
    <row r="36" spans="1:4" x14ac:dyDescent="0.3">
      <c r="A36" s="75" t="s">
        <v>120</v>
      </c>
      <c r="B36" s="83" t="s">
        <v>121</v>
      </c>
      <c r="C36" s="133">
        <v>0.03</v>
      </c>
      <c r="D36" s="78"/>
    </row>
    <row r="37" spans="1:4" x14ac:dyDescent="0.3">
      <c r="A37" s="75" t="s">
        <v>122</v>
      </c>
      <c r="B37" s="83" t="s">
        <v>123</v>
      </c>
      <c r="C37" s="81">
        <v>1.4999999999999999E-2</v>
      </c>
      <c r="D37" s="78"/>
    </row>
    <row r="38" spans="1:4" x14ac:dyDescent="0.3">
      <c r="A38" s="75" t="s">
        <v>124</v>
      </c>
      <c r="B38" s="83" t="s">
        <v>125</v>
      </c>
      <c r="C38" s="81">
        <v>0.01</v>
      </c>
      <c r="D38" s="78"/>
    </row>
    <row r="39" spans="1:4" x14ac:dyDescent="0.3">
      <c r="A39" s="75" t="s">
        <v>126</v>
      </c>
      <c r="B39" s="83" t="s">
        <v>127</v>
      </c>
      <c r="C39" s="81">
        <v>6.0000000000000001E-3</v>
      </c>
      <c r="D39" s="78"/>
    </row>
    <row r="40" spans="1:4" x14ac:dyDescent="0.3">
      <c r="A40" s="75" t="s">
        <v>128</v>
      </c>
      <c r="B40" s="83" t="s">
        <v>129</v>
      </c>
      <c r="C40" s="81">
        <v>2E-3</v>
      </c>
      <c r="D40" s="78"/>
    </row>
    <row r="41" spans="1:4" x14ac:dyDescent="0.3">
      <c r="A41" s="75" t="s">
        <v>91</v>
      </c>
      <c r="B41" s="76" t="s">
        <v>130</v>
      </c>
      <c r="C41" s="81">
        <v>0.08</v>
      </c>
      <c r="D41" s="78">
        <f>($C$18+$D$28)*C41</f>
        <v>145.05333333333334</v>
      </c>
    </row>
    <row r="42" spans="1:4" ht="16.2" customHeight="1" x14ac:dyDescent="0.3">
      <c r="A42" s="143" t="s">
        <v>131</v>
      </c>
      <c r="B42" s="143"/>
      <c r="C42" s="81">
        <f>C33+C41</f>
        <v>0.36800000000000005</v>
      </c>
      <c r="D42" s="78">
        <f>SUM(D33:D41)</f>
        <v>667.24533333333352</v>
      </c>
    </row>
    <row r="44" spans="1:4" x14ac:dyDescent="0.3">
      <c r="A44" s="144" t="s">
        <v>132</v>
      </c>
      <c r="B44" s="144"/>
      <c r="C44" s="144"/>
      <c r="D44" s="144"/>
    </row>
    <row r="46" spans="1:4" x14ac:dyDescent="0.3">
      <c r="A46" s="1" t="s">
        <v>133</v>
      </c>
      <c r="B46" s="74" t="s">
        <v>134</v>
      </c>
      <c r="C46" s="74" t="s">
        <v>108</v>
      </c>
      <c r="D46" s="74" t="s">
        <v>88</v>
      </c>
    </row>
    <row r="47" spans="1:4" x14ac:dyDescent="0.3">
      <c r="A47" s="75" t="s">
        <v>89</v>
      </c>
      <c r="B47" s="76" t="s">
        <v>135</v>
      </c>
      <c r="C47" s="84">
        <v>4.6500000000000004</v>
      </c>
      <c r="D47" s="85">
        <f>44*C47</f>
        <v>204.60000000000002</v>
      </c>
    </row>
    <row r="48" spans="1:4" x14ac:dyDescent="0.3">
      <c r="A48" s="75" t="s">
        <v>91</v>
      </c>
      <c r="B48" s="76" t="s">
        <v>136</v>
      </c>
      <c r="C48" s="86">
        <v>0.06</v>
      </c>
      <c r="D48" s="85">
        <f>-(C18*6%)</f>
        <v>-91.08</v>
      </c>
    </row>
    <row r="49" spans="1:4" x14ac:dyDescent="0.3">
      <c r="A49" s="75" t="s">
        <v>93</v>
      </c>
      <c r="B49" s="76" t="s">
        <v>137</v>
      </c>
      <c r="C49" s="84">
        <v>550</v>
      </c>
      <c r="D49" s="77">
        <f>C49</f>
        <v>550</v>
      </c>
    </row>
    <row r="50" spans="1:4" x14ac:dyDescent="0.3">
      <c r="A50" s="75" t="s">
        <v>95</v>
      </c>
      <c r="B50" s="76" t="s">
        <v>138</v>
      </c>
      <c r="C50" s="86">
        <v>0.2</v>
      </c>
      <c r="D50" s="85">
        <f>-D49*0.2</f>
        <v>-110</v>
      </c>
    </row>
    <row r="51" spans="1:4" x14ac:dyDescent="0.3">
      <c r="A51" s="75" t="s">
        <v>97</v>
      </c>
      <c r="B51" s="76" t="s">
        <v>139</v>
      </c>
      <c r="C51" s="84"/>
      <c r="D51" s="77">
        <v>22</v>
      </c>
    </row>
    <row r="52" spans="1:4" x14ac:dyDescent="0.3">
      <c r="A52" s="75" t="s">
        <v>140</v>
      </c>
      <c r="B52" s="76" t="s">
        <v>141</v>
      </c>
      <c r="C52" s="84"/>
      <c r="D52" s="77">
        <v>6</v>
      </c>
    </row>
    <row r="53" spans="1:4" x14ac:dyDescent="0.3">
      <c r="A53" s="75" t="s">
        <v>101</v>
      </c>
      <c r="B53" s="76" t="s">
        <v>142</v>
      </c>
      <c r="C53" s="84"/>
      <c r="D53" s="77">
        <v>6</v>
      </c>
    </row>
    <row r="54" spans="1:4" x14ac:dyDescent="0.3">
      <c r="A54" s="75" t="s">
        <v>143</v>
      </c>
      <c r="B54" s="76" t="s">
        <v>144</v>
      </c>
      <c r="C54" s="84"/>
      <c r="D54" s="77">
        <v>40</v>
      </c>
    </row>
    <row r="55" spans="1:4" ht="16.2" customHeight="1" x14ac:dyDescent="0.3">
      <c r="A55" s="143" t="s">
        <v>103</v>
      </c>
      <c r="B55" s="143"/>
      <c r="C55" s="84"/>
      <c r="D55" s="78">
        <f>SUM(D47:D54)</f>
        <v>627.52</v>
      </c>
    </row>
    <row r="57" spans="1:4" x14ac:dyDescent="0.3">
      <c r="A57" s="144" t="s">
        <v>145</v>
      </c>
      <c r="B57" s="144"/>
      <c r="C57" s="144"/>
      <c r="D57" s="144"/>
    </row>
    <row r="59" spans="1:4" x14ac:dyDescent="0.3">
      <c r="A59" s="1">
        <v>2</v>
      </c>
      <c r="B59" s="74" t="s">
        <v>146</v>
      </c>
      <c r="C59" s="74" t="s">
        <v>88</v>
      </c>
    </row>
    <row r="60" spans="1:4" x14ac:dyDescent="0.3">
      <c r="A60" s="75" t="s">
        <v>106</v>
      </c>
      <c r="B60" s="76" t="s">
        <v>107</v>
      </c>
      <c r="C60" s="78">
        <f>D28</f>
        <v>295.16666666666669</v>
      </c>
    </row>
    <row r="61" spans="1:4" x14ac:dyDescent="0.3">
      <c r="A61" s="75" t="s">
        <v>113</v>
      </c>
      <c r="B61" s="76" t="s">
        <v>114</v>
      </c>
      <c r="C61" s="78">
        <f>D42</f>
        <v>667.24533333333352</v>
      </c>
    </row>
    <row r="62" spans="1:4" x14ac:dyDescent="0.3">
      <c r="A62" s="75" t="s">
        <v>133</v>
      </c>
      <c r="B62" s="76" t="s">
        <v>134</v>
      </c>
      <c r="C62" s="78">
        <f>D55</f>
        <v>627.52</v>
      </c>
    </row>
    <row r="63" spans="1:4" ht="16.2" customHeight="1" x14ac:dyDescent="0.3">
      <c r="A63" s="143" t="s">
        <v>103</v>
      </c>
      <c r="B63" s="143"/>
      <c r="C63" s="78">
        <f>SUM(C60:C62)</f>
        <v>1589.9320000000002</v>
      </c>
    </row>
    <row r="64" spans="1:4" x14ac:dyDescent="0.3">
      <c r="A64" s="87"/>
    </row>
    <row r="65" spans="1:4" x14ac:dyDescent="0.3">
      <c r="A65" s="142" t="s">
        <v>147</v>
      </c>
      <c r="B65" s="142"/>
      <c r="C65" s="142"/>
      <c r="D65" s="142"/>
    </row>
    <row r="67" spans="1:4" x14ac:dyDescent="0.3">
      <c r="A67" s="1">
        <v>3</v>
      </c>
      <c r="B67" s="74" t="s">
        <v>148</v>
      </c>
      <c r="C67" s="74" t="s">
        <v>108</v>
      </c>
      <c r="D67" s="74" t="s">
        <v>88</v>
      </c>
    </row>
    <row r="68" spans="1:4" x14ac:dyDescent="0.3">
      <c r="A68" s="75" t="s">
        <v>89</v>
      </c>
      <c r="B68" s="88" t="s">
        <v>149</v>
      </c>
      <c r="C68" s="89">
        <f>20.19%*(1/12)</f>
        <v>1.6825E-2</v>
      </c>
      <c r="D68" s="78">
        <f>C68*($C$18+$C$63-$D$33)</f>
        <v>43.505075500000004</v>
      </c>
    </row>
    <row r="69" spans="1:4" x14ac:dyDescent="0.3">
      <c r="A69" s="75" t="s">
        <v>91</v>
      </c>
      <c r="B69" s="88" t="s">
        <v>150</v>
      </c>
      <c r="C69" s="89">
        <f>C41*C68</f>
        <v>1.346E-3</v>
      </c>
      <c r="D69" s="78">
        <f>C69*($C$18+$C$63-$D$33)</f>
        <v>3.4804060400000001</v>
      </c>
    </row>
    <row r="70" spans="1:4" x14ac:dyDescent="0.3">
      <c r="A70" s="75" t="s">
        <v>93</v>
      </c>
      <c r="B70" s="88" t="s">
        <v>151</v>
      </c>
      <c r="C70" s="89">
        <v>0</v>
      </c>
      <c r="D70" s="78">
        <f>C70*($C$18+$C$63-$D$33)</f>
        <v>0</v>
      </c>
    </row>
    <row r="71" spans="1:4" x14ac:dyDescent="0.3">
      <c r="A71" s="75" t="s">
        <v>95</v>
      </c>
      <c r="B71" s="88" t="s">
        <v>152</v>
      </c>
      <c r="C71" s="89">
        <f>(20.19%*(7/30)/12)</f>
        <v>3.9258333333333341E-3</v>
      </c>
      <c r="D71" s="78">
        <f>C71*($C$18+$C$63)</f>
        <v>12.201223043333338</v>
      </c>
    </row>
    <row r="72" spans="1:4" ht="17.25" customHeight="1" x14ac:dyDescent="0.3">
      <c r="A72" s="75" t="s">
        <v>97</v>
      </c>
      <c r="B72" s="88" t="s">
        <v>153</v>
      </c>
      <c r="C72" s="89">
        <f>C42*C71</f>
        <v>1.4447066666666672E-3</v>
      </c>
      <c r="D72" s="78">
        <f>C72*($C$18+$C$63)</f>
        <v>4.4900500799466689</v>
      </c>
    </row>
    <row r="73" spans="1:4" x14ac:dyDescent="0.3">
      <c r="A73" s="75" t="s">
        <v>140</v>
      </c>
      <c r="B73" s="88" t="s">
        <v>154</v>
      </c>
      <c r="C73" s="89">
        <v>0.04</v>
      </c>
      <c r="D73" s="78">
        <f>C73*($C$18+$C$63)</f>
        <v>124.31728000000001</v>
      </c>
    </row>
    <row r="74" spans="1:4" ht="16.2" customHeight="1" x14ac:dyDescent="0.3">
      <c r="A74" s="143" t="s">
        <v>103</v>
      </c>
      <c r="B74" s="143"/>
      <c r="C74" s="89">
        <f>SUM(C68:C73)</f>
        <v>6.3541540000000007E-2</v>
      </c>
      <c r="D74" s="78">
        <f>SUM(D68:D73)</f>
        <v>187.99403466328002</v>
      </c>
    </row>
    <row r="75" spans="1:4" x14ac:dyDescent="0.3">
      <c r="A75" s="142" t="s">
        <v>155</v>
      </c>
      <c r="B75" s="142"/>
      <c r="C75" s="142"/>
      <c r="D75" s="142"/>
    </row>
    <row r="77" spans="1:4" x14ac:dyDescent="0.3">
      <c r="A77" s="144" t="s">
        <v>156</v>
      </c>
      <c r="B77" s="144"/>
      <c r="C77" s="144"/>
      <c r="D77" s="144"/>
    </row>
    <row r="78" spans="1:4" x14ac:dyDescent="0.3">
      <c r="A78" s="80"/>
    </row>
    <row r="79" spans="1:4" x14ac:dyDescent="0.3">
      <c r="A79" s="1" t="s">
        <v>157</v>
      </c>
      <c r="B79" s="74" t="s">
        <v>158</v>
      </c>
      <c r="C79" s="74" t="s">
        <v>108</v>
      </c>
      <c r="D79" s="74" t="s">
        <v>88</v>
      </c>
    </row>
    <row r="80" spans="1:4" x14ac:dyDescent="0.3">
      <c r="A80" s="75" t="s">
        <v>89</v>
      </c>
      <c r="B80" s="88" t="s">
        <v>110</v>
      </c>
      <c r="C80" s="90">
        <f>(1/12)</f>
        <v>8.3333333333333329E-2</v>
      </c>
      <c r="D80" s="78">
        <f>C80*($C$18+$C$63+$D$74)</f>
        <v>274.66050288860669</v>
      </c>
    </row>
    <row r="81" spans="1:4" x14ac:dyDescent="0.3">
      <c r="A81" s="75" t="s">
        <v>91</v>
      </c>
      <c r="B81" s="88" t="s">
        <v>159</v>
      </c>
      <c r="C81" s="90">
        <f>((8/30)/12)</f>
        <v>2.2222222222222223E-2</v>
      </c>
      <c r="D81" s="78">
        <f>C81*($C$18+$C$63+$D$74)</f>
        <v>73.242800770295119</v>
      </c>
    </row>
    <row r="82" spans="1:4" x14ac:dyDescent="0.3">
      <c r="A82" s="75" t="s">
        <v>93</v>
      </c>
      <c r="B82" s="88" t="s">
        <v>160</v>
      </c>
      <c r="C82" s="90">
        <f>(((20/30)/12)*1.5%)</f>
        <v>8.3333333333333328E-4</v>
      </c>
      <c r="D82" s="78">
        <f>C82*($C$18+$C$63+$D$74)</f>
        <v>2.7466050288860671</v>
      </c>
    </row>
    <row r="83" spans="1:4" x14ac:dyDescent="0.3">
      <c r="A83" s="75" t="s">
        <v>95</v>
      </c>
      <c r="B83" s="88" t="s">
        <v>161</v>
      </c>
      <c r="C83" s="90">
        <f>(((15/30)/12)*0.86%)</f>
        <v>3.5833333333333333E-4</v>
      </c>
      <c r="D83" s="78">
        <f>C83*($C$18+$C$63+$D$74)</f>
        <v>1.1810401624210087</v>
      </c>
    </row>
    <row r="84" spans="1:4" x14ac:dyDescent="0.3">
      <c r="A84" s="75" t="s">
        <v>97</v>
      </c>
      <c r="B84" s="88" t="s">
        <v>162</v>
      </c>
      <c r="C84" s="90">
        <f>((6/12)*C42*62.2%*81.2%*((1.86/31)/12))</f>
        <v>4.6465888000000007E-4</v>
      </c>
      <c r="D84" s="78">
        <f>C84*($C$18+$C$63+$D$74)</f>
        <v>1.5314812998294813</v>
      </c>
    </row>
    <row r="85" spans="1:4" ht="16.2" customHeight="1" x14ac:dyDescent="0.3">
      <c r="A85" s="143" t="s">
        <v>131</v>
      </c>
      <c r="B85" s="143"/>
      <c r="C85" s="90">
        <f>SUM(C80:C84)</f>
        <v>0.10721188110222223</v>
      </c>
      <c r="D85" s="78">
        <f>SUM(D80:D84)</f>
        <v>353.36243015003834</v>
      </c>
    </row>
    <row r="87" spans="1:4" x14ac:dyDescent="0.3">
      <c r="A87" s="144" t="s">
        <v>163</v>
      </c>
      <c r="B87" s="144"/>
      <c r="C87" s="144"/>
      <c r="D87" s="144"/>
    </row>
    <row r="88" spans="1:4" x14ac:dyDescent="0.3">
      <c r="A88" s="80"/>
    </row>
    <row r="89" spans="1:4" x14ac:dyDescent="0.3">
      <c r="A89" s="1" t="s">
        <v>164</v>
      </c>
      <c r="B89" s="74" t="s">
        <v>165</v>
      </c>
      <c r="C89" s="74" t="s">
        <v>108</v>
      </c>
      <c r="D89" s="74" t="s">
        <v>88</v>
      </c>
    </row>
    <row r="90" spans="1:4" x14ac:dyDescent="0.3">
      <c r="A90" s="75" t="s">
        <v>89</v>
      </c>
      <c r="B90" s="76" t="s">
        <v>166</v>
      </c>
      <c r="C90" s="91">
        <v>0</v>
      </c>
      <c r="D90" s="78">
        <f>C18*C90</f>
        <v>0</v>
      </c>
    </row>
    <row r="91" spans="1:4" ht="16.2" customHeight="1" x14ac:dyDescent="0.3">
      <c r="A91" s="143" t="s">
        <v>103</v>
      </c>
      <c r="B91" s="143"/>
      <c r="C91" s="91">
        <f>C90</f>
        <v>0</v>
      </c>
      <c r="D91" s="78">
        <f>D90</f>
        <v>0</v>
      </c>
    </row>
    <row r="93" spans="1:4" x14ac:dyDescent="0.3">
      <c r="A93" s="144" t="s">
        <v>167</v>
      </c>
      <c r="B93" s="144"/>
      <c r="C93" s="144"/>
      <c r="D93" s="144"/>
    </row>
    <row r="94" spans="1:4" x14ac:dyDescent="0.3">
      <c r="A94" s="80"/>
    </row>
    <row r="95" spans="1:4" x14ac:dyDescent="0.3">
      <c r="A95" s="1">
        <v>4</v>
      </c>
      <c r="B95" s="74" t="s">
        <v>168</v>
      </c>
      <c r="C95" s="74" t="s">
        <v>88</v>
      </c>
    </row>
    <row r="96" spans="1:4" x14ac:dyDescent="0.3">
      <c r="A96" s="75" t="s">
        <v>157</v>
      </c>
      <c r="B96" s="76" t="s">
        <v>169</v>
      </c>
      <c r="C96" s="78">
        <f>D85</f>
        <v>353.36243015003834</v>
      </c>
      <c r="D96" s="92"/>
    </row>
    <row r="97" spans="1:9" x14ac:dyDescent="0.3">
      <c r="A97" s="75" t="s">
        <v>164</v>
      </c>
      <c r="B97" s="76" t="s">
        <v>170</v>
      </c>
      <c r="C97" s="78">
        <f>D91</f>
        <v>0</v>
      </c>
      <c r="D97" s="92"/>
    </row>
    <row r="98" spans="1:9" ht="16.2" customHeight="1" x14ac:dyDescent="0.3">
      <c r="A98" s="143" t="s">
        <v>103</v>
      </c>
      <c r="B98" s="143"/>
      <c r="C98" s="78">
        <f>SUM(C96:C97)</f>
        <v>353.36243015003834</v>
      </c>
      <c r="D98" s="92"/>
    </row>
    <row r="100" spans="1:9" x14ac:dyDescent="0.3">
      <c r="A100" s="142" t="s">
        <v>171</v>
      </c>
      <c r="B100" s="142"/>
      <c r="C100" s="142"/>
      <c r="D100" s="142"/>
    </row>
    <row r="102" spans="1:9" x14ac:dyDescent="0.3">
      <c r="A102" s="1">
        <v>5</v>
      </c>
      <c r="B102" s="93" t="s">
        <v>172</v>
      </c>
      <c r="C102" s="74" t="s">
        <v>88</v>
      </c>
    </row>
    <row r="103" spans="1:9" x14ac:dyDescent="0.3">
      <c r="A103" s="75" t="s">
        <v>89</v>
      </c>
      <c r="B103" s="76" t="s">
        <v>198</v>
      </c>
      <c r="C103" s="84">
        <f>UNIFORME!H10</f>
        <v>96.233333333333334</v>
      </c>
    </row>
    <row r="104" spans="1:9" x14ac:dyDescent="0.3">
      <c r="A104" s="75" t="s">
        <v>91</v>
      </c>
      <c r="B104" s="76" t="s">
        <v>335</v>
      </c>
      <c r="C104" s="84">
        <f>EQUIPAMENTOS!J24</f>
        <v>47.957866666666668</v>
      </c>
    </row>
    <row r="105" spans="1:9" x14ac:dyDescent="0.3">
      <c r="A105" s="75" t="s">
        <v>93</v>
      </c>
      <c r="B105" s="76" t="s">
        <v>199</v>
      </c>
      <c r="C105" s="84">
        <f>EPI!I9</f>
        <v>12.896000000000001</v>
      </c>
    </row>
    <row r="106" spans="1:9" ht="16.2" customHeight="1" x14ac:dyDescent="0.3">
      <c r="A106" s="143" t="s">
        <v>131</v>
      </c>
      <c r="B106" s="143"/>
      <c r="C106" s="78">
        <f>C103+C104+C105</f>
        <v>157.0872</v>
      </c>
    </row>
    <row r="108" spans="1:9" x14ac:dyDescent="0.3">
      <c r="A108" s="142" t="s">
        <v>176</v>
      </c>
      <c r="B108" s="142"/>
      <c r="C108" s="142"/>
      <c r="D108" s="142"/>
    </row>
    <row r="110" spans="1:9" x14ac:dyDescent="0.3">
      <c r="A110" s="1">
        <v>6</v>
      </c>
      <c r="B110" s="93" t="s">
        <v>177</v>
      </c>
      <c r="C110" s="74" t="s">
        <v>108</v>
      </c>
      <c r="D110" s="74" t="s">
        <v>88</v>
      </c>
    </row>
    <row r="111" spans="1:9" x14ac:dyDescent="0.3">
      <c r="A111" s="75" t="s">
        <v>89</v>
      </c>
      <c r="B111" s="76" t="s">
        <v>178</v>
      </c>
      <c r="C111" s="90">
        <v>0.08</v>
      </c>
      <c r="D111" s="78">
        <f>C111*C129</f>
        <v>304.51005318506549</v>
      </c>
    </row>
    <row r="112" spans="1:9" x14ac:dyDescent="0.3">
      <c r="A112" s="75" t="s">
        <v>91</v>
      </c>
      <c r="B112" s="76" t="s">
        <v>179</v>
      </c>
      <c r="C112" s="90">
        <v>6.7900000000000002E-2</v>
      </c>
      <c r="D112" s="78">
        <f>(D111+C129)*C112</f>
        <v>279.12914025209028</v>
      </c>
      <c r="I112" s="94"/>
    </row>
    <row r="113" spans="1:8" x14ac:dyDescent="0.3">
      <c r="A113" s="75" t="s">
        <v>93</v>
      </c>
      <c r="B113" s="76" t="s">
        <v>180</v>
      </c>
      <c r="C113" s="90">
        <f>C114+C117+C118</f>
        <v>8.6499999999999994E-2</v>
      </c>
      <c r="D113" s="78">
        <f>((D111+D112+C129)/(100%-C113))-(D111+D112+C129)</f>
        <v>415.69379883816782</v>
      </c>
    </row>
    <row r="114" spans="1:8" x14ac:dyDescent="0.3">
      <c r="A114" s="75" t="s">
        <v>181</v>
      </c>
      <c r="B114" s="76" t="s">
        <v>182</v>
      </c>
      <c r="C114" s="90">
        <f>SUM(C115:C116)</f>
        <v>3.6499999999999998E-2</v>
      </c>
      <c r="D114" s="95"/>
    </row>
    <row r="115" spans="1:8" x14ac:dyDescent="0.3">
      <c r="A115" s="75"/>
      <c r="B115" s="83" t="s">
        <v>183</v>
      </c>
      <c r="C115" s="90">
        <v>0.03</v>
      </c>
      <c r="D115" s="100"/>
    </row>
    <row r="116" spans="1:8" x14ac:dyDescent="0.3">
      <c r="A116" s="75"/>
      <c r="B116" s="83" t="s">
        <v>184</v>
      </c>
      <c r="C116" s="90">
        <v>6.4999999999999997E-3</v>
      </c>
      <c r="D116" s="100"/>
      <c r="H116" s="92"/>
    </row>
    <row r="117" spans="1:8" x14ac:dyDescent="0.3">
      <c r="A117" s="75" t="s">
        <v>185</v>
      </c>
      <c r="B117" s="83" t="s">
        <v>186</v>
      </c>
      <c r="C117" s="90">
        <v>0</v>
      </c>
      <c r="D117" s="100"/>
      <c r="F117" s="92"/>
      <c r="H117" s="92"/>
    </row>
    <row r="118" spans="1:8" x14ac:dyDescent="0.3">
      <c r="A118" s="75" t="s">
        <v>187</v>
      </c>
      <c r="B118" s="83" t="s">
        <v>188</v>
      </c>
      <c r="C118" s="90">
        <v>0.05</v>
      </c>
      <c r="D118" s="100"/>
      <c r="F118" s="92"/>
    </row>
    <row r="119" spans="1:8" x14ac:dyDescent="0.3">
      <c r="A119" s="101" t="s">
        <v>131</v>
      </c>
      <c r="B119" s="74"/>
      <c r="C119" s="81"/>
      <c r="D119" s="78">
        <f>D111+D112+D113</f>
        <v>999.33299227532359</v>
      </c>
    </row>
    <row r="120" spans="1:8" x14ac:dyDescent="0.3">
      <c r="F120" s="92"/>
    </row>
    <row r="121" spans="1:8" x14ac:dyDescent="0.3">
      <c r="A121" s="142" t="s">
        <v>189</v>
      </c>
      <c r="B121" s="142"/>
      <c r="C121" s="142"/>
      <c r="D121" s="142"/>
    </row>
    <row r="123" spans="1:8" x14ac:dyDescent="0.3">
      <c r="A123" s="1"/>
      <c r="B123" s="74" t="s">
        <v>190</v>
      </c>
      <c r="C123" s="74" t="s">
        <v>88</v>
      </c>
    </row>
    <row r="124" spans="1:8" x14ac:dyDescent="0.3">
      <c r="A124" s="96" t="s">
        <v>89</v>
      </c>
      <c r="B124" s="76" t="s">
        <v>191</v>
      </c>
      <c r="C124" s="97">
        <f>C18</f>
        <v>1518</v>
      </c>
    </row>
    <row r="125" spans="1:8" x14ac:dyDescent="0.3">
      <c r="A125" s="96" t="s">
        <v>91</v>
      </c>
      <c r="B125" s="76" t="s">
        <v>192</v>
      </c>
      <c r="C125" s="97">
        <f>C63</f>
        <v>1589.9320000000002</v>
      </c>
    </row>
    <row r="126" spans="1:8" x14ac:dyDescent="0.3">
      <c r="A126" s="96" t="s">
        <v>93</v>
      </c>
      <c r="B126" s="76" t="s">
        <v>147</v>
      </c>
      <c r="C126" s="97">
        <f>D74</f>
        <v>187.99403466328002</v>
      </c>
    </row>
    <row r="127" spans="1:8" x14ac:dyDescent="0.3">
      <c r="A127" s="96" t="s">
        <v>95</v>
      </c>
      <c r="B127" s="76" t="s">
        <v>155</v>
      </c>
      <c r="C127" s="97">
        <f>C98</f>
        <v>353.36243015003834</v>
      </c>
    </row>
    <row r="128" spans="1:8" x14ac:dyDescent="0.3">
      <c r="A128" s="96" t="s">
        <v>97</v>
      </c>
      <c r="B128" s="76" t="s">
        <v>171</v>
      </c>
      <c r="C128" s="97">
        <f>C106</f>
        <v>157.0872</v>
      </c>
    </row>
    <row r="129" spans="1:4" ht="16.2" customHeight="1" x14ac:dyDescent="0.3">
      <c r="A129" s="143" t="s">
        <v>193</v>
      </c>
      <c r="B129" s="143"/>
      <c r="C129" s="97">
        <f>SUM(C124:C128)</f>
        <v>3806.3756648133185</v>
      </c>
      <c r="D129" s="92"/>
    </row>
    <row r="130" spans="1:4" x14ac:dyDescent="0.3">
      <c r="A130" s="96" t="s">
        <v>140</v>
      </c>
      <c r="B130" s="76" t="s">
        <v>194</v>
      </c>
      <c r="C130" s="97">
        <f>D119</f>
        <v>999.33299227532359</v>
      </c>
    </row>
    <row r="131" spans="1:4" ht="16.2" customHeight="1" x14ac:dyDescent="0.3">
      <c r="A131" s="143" t="s">
        <v>195</v>
      </c>
      <c r="B131" s="143"/>
      <c r="C131" s="97">
        <f>C130+C129</f>
        <v>4805.7086570886422</v>
      </c>
      <c r="D131" s="92"/>
    </row>
    <row r="132" spans="1:4" x14ac:dyDescent="0.3">
      <c r="A132" s="98"/>
      <c r="B132" s="98"/>
      <c r="C132" s="99"/>
      <c r="D132" s="92"/>
    </row>
    <row r="133" spans="1:4" ht="33" customHeight="1" x14ac:dyDescent="0.3">
      <c r="A133" s="146" t="s">
        <v>196</v>
      </c>
      <c r="B133" s="146"/>
      <c r="C133" s="146"/>
      <c r="D133" s="146"/>
    </row>
    <row r="134" spans="1:4" ht="27.75" customHeight="1" x14ac:dyDescent="0.3">
      <c r="A134" s="146"/>
      <c r="B134" s="146"/>
      <c r="C134" s="146"/>
      <c r="D134" s="146"/>
    </row>
  </sheetData>
  <mergeCells count="35">
    <mergeCell ref="A129:B129"/>
    <mergeCell ref="A131:B131"/>
    <mergeCell ref="A133:D134"/>
    <mergeCell ref="A98:B98"/>
    <mergeCell ref="A100:D100"/>
    <mergeCell ref="A106:B106"/>
    <mergeCell ref="A108:D108"/>
    <mergeCell ref="A121:D121"/>
    <mergeCell ref="A77:D77"/>
    <mergeCell ref="A85:B85"/>
    <mergeCell ref="A87:D87"/>
    <mergeCell ref="A91:B91"/>
    <mergeCell ref="A93:D93"/>
    <mergeCell ref="A57:D57"/>
    <mergeCell ref="A63:B63"/>
    <mergeCell ref="A65:D65"/>
    <mergeCell ref="A74:B74"/>
    <mergeCell ref="A75:D75"/>
    <mergeCell ref="A28:B28"/>
    <mergeCell ref="A30:D30"/>
    <mergeCell ref="A42:B42"/>
    <mergeCell ref="A44:D44"/>
    <mergeCell ref="A55:B55"/>
    <mergeCell ref="C6:D6"/>
    <mergeCell ref="A8:D8"/>
    <mergeCell ref="A18:B18"/>
    <mergeCell ref="A20:D20"/>
    <mergeCell ref="A22:D22"/>
    <mergeCell ref="A6:B6"/>
    <mergeCell ref="A1:D1"/>
    <mergeCell ref="A2:D2"/>
    <mergeCell ref="A3:D3"/>
    <mergeCell ref="C4:D4"/>
    <mergeCell ref="A5:D5"/>
    <mergeCell ref="A4:B4"/>
  </mergeCells>
  <pageMargins left="0.51180555555555496" right="0.51180555555555496" top="0.39374999999999999" bottom="0.39374999999999999" header="0.51180555555555496" footer="0.51180555555555496"/>
  <pageSetup paperSize="9" scale="6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MJ134"/>
  <sheetViews>
    <sheetView tabSelected="1" topLeftCell="A112" zoomScaleNormal="100" workbookViewId="0">
      <selection activeCell="F106" sqref="F106"/>
    </sheetView>
  </sheetViews>
  <sheetFormatPr defaultColWidth="9.109375" defaultRowHeight="15.6" x14ac:dyDescent="0.3"/>
  <cols>
    <col min="1" max="1" width="9.109375" style="69"/>
    <col min="2" max="2" width="79.33203125" style="69" customWidth="1"/>
    <col min="3" max="3" width="26.88671875" style="69" customWidth="1"/>
    <col min="4" max="4" width="22.33203125" style="69" customWidth="1"/>
    <col min="5" max="5" width="12.6640625" style="69" customWidth="1"/>
    <col min="6" max="6" width="12" style="69" customWidth="1"/>
    <col min="7" max="7" width="15.109375" style="69" customWidth="1"/>
    <col min="8" max="8" width="10.6640625" style="69" customWidth="1"/>
    <col min="9" max="1024" width="9.109375" style="69"/>
  </cols>
  <sheetData>
    <row r="1" spans="1:4" ht="22.8" x14ac:dyDescent="0.4">
      <c r="A1" s="137" t="s">
        <v>81</v>
      </c>
      <c r="B1" s="137"/>
      <c r="C1" s="137"/>
      <c r="D1" s="137"/>
    </row>
    <row r="2" spans="1:4" ht="22.8" x14ac:dyDescent="0.4">
      <c r="A2" s="137" t="s">
        <v>82</v>
      </c>
      <c r="B2" s="137"/>
      <c r="C2" s="137"/>
      <c r="D2" s="137"/>
    </row>
    <row r="3" spans="1:4" x14ac:dyDescent="0.3">
      <c r="A3" s="138" t="s">
        <v>83</v>
      </c>
      <c r="B3" s="138"/>
      <c r="C3" s="138"/>
      <c r="D3" s="138"/>
    </row>
    <row r="4" spans="1:4" x14ac:dyDescent="0.3">
      <c r="A4" s="70" t="s">
        <v>84</v>
      </c>
      <c r="B4" s="71"/>
      <c r="C4" s="139" t="s">
        <v>323</v>
      </c>
      <c r="D4" s="139"/>
    </row>
    <row r="5" spans="1:4" ht="15.75" customHeight="1" x14ac:dyDescent="0.3">
      <c r="A5" s="140" t="s">
        <v>320</v>
      </c>
      <c r="B5" s="140"/>
      <c r="C5" s="140"/>
      <c r="D5" s="140"/>
    </row>
    <row r="6" spans="1:4" ht="15.6" customHeight="1" x14ac:dyDescent="0.3">
      <c r="A6" s="70" t="s">
        <v>85</v>
      </c>
      <c r="B6" s="71"/>
      <c r="C6" s="141" t="s">
        <v>322</v>
      </c>
      <c r="D6" s="141"/>
    </row>
    <row r="7" spans="1:4" x14ac:dyDescent="0.3">
      <c r="B7" s="72"/>
      <c r="C7" s="73"/>
    </row>
    <row r="8" spans="1:4" x14ac:dyDescent="0.3">
      <c r="A8" s="142" t="s">
        <v>86</v>
      </c>
      <c r="B8" s="142"/>
      <c r="C8" s="142"/>
      <c r="D8" s="142"/>
    </row>
    <row r="10" spans="1:4" x14ac:dyDescent="0.3">
      <c r="A10" s="1">
        <v>1</v>
      </c>
      <c r="B10" s="74" t="s">
        <v>87</v>
      </c>
      <c r="C10" s="74" t="s">
        <v>88</v>
      </c>
    </row>
    <row r="11" spans="1:4" x14ac:dyDescent="0.3">
      <c r="A11" s="75" t="s">
        <v>89</v>
      </c>
      <c r="B11" s="76" t="s">
        <v>329</v>
      </c>
      <c r="C11" s="77">
        <v>1518</v>
      </c>
    </row>
    <row r="12" spans="1:4" x14ac:dyDescent="0.3">
      <c r="A12" s="75" t="s">
        <v>91</v>
      </c>
      <c r="B12" s="76" t="s">
        <v>92</v>
      </c>
      <c r="C12" s="78"/>
    </row>
    <row r="13" spans="1:4" x14ac:dyDescent="0.3">
      <c r="A13" s="75" t="s">
        <v>93</v>
      </c>
      <c r="B13" s="76" t="s">
        <v>94</v>
      </c>
      <c r="C13" s="78"/>
    </row>
    <row r="14" spans="1:4" x14ac:dyDescent="0.3">
      <c r="A14" s="75" t="s">
        <v>95</v>
      </c>
      <c r="B14" s="76" t="s">
        <v>96</v>
      </c>
      <c r="C14" s="78"/>
    </row>
    <row r="15" spans="1:4" x14ac:dyDescent="0.3">
      <c r="A15" s="75" t="s">
        <v>97</v>
      </c>
      <c r="B15" s="76" t="s">
        <v>98</v>
      </c>
      <c r="C15" s="78"/>
    </row>
    <row r="16" spans="1:4" x14ac:dyDescent="0.3">
      <c r="A16" s="75" t="s">
        <v>99</v>
      </c>
      <c r="B16" s="76" t="s">
        <v>100</v>
      </c>
      <c r="C16" s="78"/>
    </row>
    <row r="17" spans="1:4" x14ac:dyDescent="0.3">
      <c r="A17" s="75" t="s">
        <v>101</v>
      </c>
      <c r="B17" s="76" t="s">
        <v>197</v>
      </c>
      <c r="C17" s="78"/>
    </row>
    <row r="18" spans="1:4" ht="16.2" customHeight="1" x14ac:dyDescent="0.3">
      <c r="A18" s="143" t="s">
        <v>103</v>
      </c>
      <c r="B18" s="143"/>
      <c r="C18" s="79">
        <f>SUM(C11:C17)</f>
        <v>1518</v>
      </c>
    </row>
    <row r="20" spans="1:4" x14ac:dyDescent="0.3">
      <c r="A20" s="142" t="s">
        <v>104</v>
      </c>
      <c r="B20" s="142"/>
      <c r="C20" s="142"/>
      <c r="D20" s="142"/>
    </row>
    <row r="21" spans="1:4" x14ac:dyDescent="0.3">
      <c r="A21" s="80"/>
    </row>
    <row r="22" spans="1:4" x14ac:dyDescent="0.3">
      <c r="A22" s="144" t="s">
        <v>105</v>
      </c>
      <c r="B22" s="144"/>
      <c r="C22" s="144"/>
      <c r="D22" s="144"/>
    </row>
    <row r="24" spans="1:4" x14ac:dyDescent="0.3">
      <c r="A24" s="1" t="s">
        <v>106</v>
      </c>
      <c r="B24" s="74" t="s">
        <v>107</v>
      </c>
      <c r="C24" s="74" t="s">
        <v>108</v>
      </c>
      <c r="D24" s="74" t="s">
        <v>88</v>
      </c>
    </row>
    <row r="25" spans="1:4" x14ac:dyDescent="0.3">
      <c r="A25" s="75" t="s">
        <v>89</v>
      </c>
      <c r="B25" s="76" t="s">
        <v>109</v>
      </c>
      <c r="C25" s="81">
        <f>1/12</f>
        <v>8.3333333333333329E-2</v>
      </c>
      <c r="D25" s="78">
        <f>ROUND(C25*C18,2)</f>
        <v>126.5</v>
      </c>
    </row>
    <row r="26" spans="1:4" x14ac:dyDescent="0.3">
      <c r="A26" s="75" t="s">
        <v>91</v>
      </c>
      <c r="B26" s="76" t="s">
        <v>110</v>
      </c>
      <c r="C26" s="81">
        <f>1/12</f>
        <v>8.3333333333333329E-2</v>
      </c>
      <c r="D26" s="78">
        <f>$C$18*C26</f>
        <v>126.5</v>
      </c>
    </row>
    <row r="27" spans="1:4" x14ac:dyDescent="0.3">
      <c r="A27" s="75" t="s">
        <v>93</v>
      </c>
      <c r="B27" s="76" t="s">
        <v>111</v>
      </c>
      <c r="C27" s="81">
        <f>(1/3)/12</f>
        <v>2.7777777777777776E-2</v>
      </c>
      <c r="D27" s="78">
        <f>$C$18*C27</f>
        <v>42.166666666666664</v>
      </c>
    </row>
    <row r="28" spans="1:4" ht="16.2" customHeight="1" x14ac:dyDescent="0.3">
      <c r="A28" s="143" t="s">
        <v>103</v>
      </c>
      <c r="B28" s="143"/>
      <c r="C28" s="81">
        <f>C25+C26+C27</f>
        <v>0.19444444444444442</v>
      </c>
      <c r="D28" s="78">
        <f>SUM(D25:D27)</f>
        <v>295.16666666666669</v>
      </c>
    </row>
    <row r="30" spans="1:4" ht="32.25" customHeight="1" x14ac:dyDescent="0.3">
      <c r="A30" s="145" t="s">
        <v>112</v>
      </c>
      <c r="B30" s="145"/>
      <c r="C30" s="145"/>
      <c r="D30" s="145"/>
    </row>
    <row r="32" spans="1:4" x14ac:dyDescent="0.3">
      <c r="A32" s="1" t="s">
        <v>113</v>
      </c>
      <c r="B32" s="74" t="s">
        <v>114</v>
      </c>
      <c r="C32" s="74" t="s">
        <v>108</v>
      </c>
      <c r="D32" s="74" t="s">
        <v>88</v>
      </c>
    </row>
    <row r="33" spans="1:4" x14ac:dyDescent="0.3">
      <c r="A33" s="75" t="s">
        <v>89</v>
      </c>
      <c r="B33" s="76" t="s">
        <v>115</v>
      </c>
      <c r="C33" s="82">
        <f>SUM(C34:C40)</f>
        <v>0.28800000000000003</v>
      </c>
      <c r="D33" s="78">
        <f>($C$18+$D$28)*C33</f>
        <v>522.19200000000012</v>
      </c>
    </row>
    <row r="34" spans="1:4" x14ac:dyDescent="0.3">
      <c r="A34" s="75" t="s">
        <v>116</v>
      </c>
      <c r="B34" s="83" t="s">
        <v>117</v>
      </c>
      <c r="C34" s="81">
        <v>0.2</v>
      </c>
      <c r="D34" s="78"/>
    </row>
    <row r="35" spans="1:4" x14ac:dyDescent="0.3">
      <c r="A35" s="75" t="s">
        <v>118</v>
      </c>
      <c r="B35" s="83" t="s">
        <v>119</v>
      </c>
      <c r="C35" s="81">
        <v>2.5000000000000001E-2</v>
      </c>
      <c r="D35" s="78"/>
    </row>
    <row r="36" spans="1:4" x14ac:dyDescent="0.3">
      <c r="A36" s="75" t="s">
        <v>120</v>
      </c>
      <c r="B36" s="83" t="s">
        <v>121</v>
      </c>
      <c r="C36" s="133">
        <v>0.03</v>
      </c>
      <c r="D36" s="78"/>
    </row>
    <row r="37" spans="1:4" x14ac:dyDescent="0.3">
      <c r="A37" s="75" t="s">
        <v>122</v>
      </c>
      <c r="B37" s="83" t="s">
        <v>123</v>
      </c>
      <c r="C37" s="81">
        <v>1.4999999999999999E-2</v>
      </c>
      <c r="D37" s="78"/>
    </row>
    <row r="38" spans="1:4" x14ac:dyDescent="0.3">
      <c r="A38" s="75" t="s">
        <v>124</v>
      </c>
      <c r="B38" s="83" t="s">
        <v>125</v>
      </c>
      <c r="C38" s="81">
        <v>0.01</v>
      </c>
      <c r="D38" s="78"/>
    </row>
    <row r="39" spans="1:4" x14ac:dyDescent="0.3">
      <c r="A39" s="75" t="s">
        <v>126</v>
      </c>
      <c r="B39" s="83" t="s">
        <v>127</v>
      </c>
      <c r="C39" s="81">
        <v>6.0000000000000001E-3</v>
      </c>
      <c r="D39" s="78"/>
    </row>
    <row r="40" spans="1:4" x14ac:dyDescent="0.3">
      <c r="A40" s="75" t="s">
        <v>128</v>
      </c>
      <c r="B40" s="83" t="s">
        <v>129</v>
      </c>
      <c r="C40" s="81">
        <v>2E-3</v>
      </c>
      <c r="D40" s="78"/>
    </row>
    <row r="41" spans="1:4" x14ac:dyDescent="0.3">
      <c r="A41" s="75" t="s">
        <v>91</v>
      </c>
      <c r="B41" s="76" t="s">
        <v>130</v>
      </c>
      <c r="C41" s="81">
        <v>0.08</v>
      </c>
      <c r="D41" s="78">
        <f>($C$18+$D$28)*C41</f>
        <v>145.05333333333334</v>
      </c>
    </row>
    <row r="42" spans="1:4" ht="16.2" customHeight="1" x14ac:dyDescent="0.3">
      <c r="A42" s="143" t="s">
        <v>131</v>
      </c>
      <c r="B42" s="143"/>
      <c r="C42" s="81">
        <f>C33+C41</f>
        <v>0.36800000000000005</v>
      </c>
      <c r="D42" s="78">
        <f>SUM(D33:D41)</f>
        <v>667.24533333333352</v>
      </c>
    </row>
    <row r="44" spans="1:4" x14ac:dyDescent="0.3">
      <c r="A44" s="144" t="s">
        <v>132</v>
      </c>
      <c r="B44" s="144"/>
      <c r="C44" s="144"/>
      <c r="D44" s="144"/>
    </row>
    <row r="46" spans="1:4" x14ac:dyDescent="0.3">
      <c r="A46" s="1" t="s">
        <v>133</v>
      </c>
      <c r="B46" s="74" t="s">
        <v>134</v>
      </c>
      <c r="C46" s="74" t="s">
        <v>108</v>
      </c>
      <c r="D46" s="74" t="s">
        <v>88</v>
      </c>
    </row>
    <row r="47" spans="1:4" x14ac:dyDescent="0.3">
      <c r="A47" s="75" t="s">
        <v>89</v>
      </c>
      <c r="B47" s="76" t="s">
        <v>135</v>
      </c>
      <c r="C47" s="84">
        <v>4.6500000000000004</v>
      </c>
      <c r="D47" s="85">
        <f>44*C47</f>
        <v>204.60000000000002</v>
      </c>
    </row>
    <row r="48" spans="1:4" x14ac:dyDescent="0.3">
      <c r="A48" s="75" t="s">
        <v>91</v>
      </c>
      <c r="B48" s="76" t="s">
        <v>136</v>
      </c>
      <c r="C48" s="86">
        <v>0.06</v>
      </c>
      <c r="D48" s="85">
        <f>-(C18*6%)</f>
        <v>-91.08</v>
      </c>
    </row>
    <row r="49" spans="1:4" x14ac:dyDescent="0.3">
      <c r="A49" s="75" t="s">
        <v>93</v>
      </c>
      <c r="B49" s="76" t="s">
        <v>137</v>
      </c>
      <c r="C49" s="84">
        <v>550</v>
      </c>
      <c r="D49" s="77">
        <f>C49</f>
        <v>550</v>
      </c>
    </row>
    <row r="50" spans="1:4" x14ac:dyDescent="0.3">
      <c r="A50" s="75" t="s">
        <v>95</v>
      </c>
      <c r="B50" s="76" t="s">
        <v>138</v>
      </c>
      <c r="C50" s="86">
        <v>0.2</v>
      </c>
      <c r="D50" s="85">
        <f>-D49*0.2</f>
        <v>-110</v>
      </c>
    </row>
    <row r="51" spans="1:4" x14ac:dyDescent="0.3">
      <c r="A51" s="75" t="s">
        <v>97</v>
      </c>
      <c r="B51" s="76" t="s">
        <v>139</v>
      </c>
      <c r="C51" s="84"/>
      <c r="D51" s="77">
        <v>22</v>
      </c>
    </row>
    <row r="52" spans="1:4" x14ac:dyDescent="0.3">
      <c r="A52" s="75" t="s">
        <v>140</v>
      </c>
      <c r="B52" s="76" t="s">
        <v>141</v>
      </c>
      <c r="C52" s="84"/>
      <c r="D52" s="77">
        <v>6</v>
      </c>
    </row>
    <row r="53" spans="1:4" x14ac:dyDescent="0.3">
      <c r="A53" s="75" t="s">
        <v>101</v>
      </c>
      <c r="B53" s="76" t="s">
        <v>142</v>
      </c>
      <c r="C53" s="84"/>
      <c r="D53" s="77">
        <v>6</v>
      </c>
    </row>
    <row r="54" spans="1:4" x14ac:dyDescent="0.3">
      <c r="A54" s="75" t="s">
        <v>143</v>
      </c>
      <c r="B54" s="76" t="s">
        <v>144</v>
      </c>
      <c r="C54" s="84"/>
      <c r="D54" s="77">
        <v>40</v>
      </c>
    </row>
    <row r="55" spans="1:4" ht="16.2" customHeight="1" x14ac:dyDescent="0.3">
      <c r="A55" s="143" t="s">
        <v>103</v>
      </c>
      <c r="B55" s="143"/>
      <c r="C55" s="84"/>
      <c r="D55" s="78">
        <f>SUM(D47:D54)</f>
        <v>627.52</v>
      </c>
    </row>
    <row r="57" spans="1:4" x14ac:dyDescent="0.3">
      <c r="A57" s="144" t="s">
        <v>145</v>
      </c>
      <c r="B57" s="144"/>
      <c r="C57" s="144"/>
      <c r="D57" s="144"/>
    </row>
    <row r="59" spans="1:4" x14ac:dyDescent="0.3">
      <c r="A59" s="1">
        <v>2</v>
      </c>
      <c r="B59" s="74" t="s">
        <v>146</v>
      </c>
      <c r="C59" s="74" t="s">
        <v>88</v>
      </c>
    </row>
    <row r="60" spans="1:4" x14ac:dyDescent="0.3">
      <c r="A60" s="75" t="s">
        <v>106</v>
      </c>
      <c r="B60" s="76" t="s">
        <v>107</v>
      </c>
      <c r="C60" s="78">
        <f>D28</f>
        <v>295.16666666666669</v>
      </c>
    </row>
    <row r="61" spans="1:4" x14ac:dyDescent="0.3">
      <c r="A61" s="75" t="s">
        <v>113</v>
      </c>
      <c r="B61" s="76" t="s">
        <v>114</v>
      </c>
      <c r="C61" s="78">
        <f>D42</f>
        <v>667.24533333333352</v>
      </c>
    </row>
    <row r="62" spans="1:4" x14ac:dyDescent="0.3">
      <c r="A62" s="75" t="s">
        <v>133</v>
      </c>
      <c r="B62" s="76" t="s">
        <v>134</v>
      </c>
      <c r="C62" s="78">
        <f>D55</f>
        <v>627.52</v>
      </c>
    </row>
    <row r="63" spans="1:4" ht="16.2" customHeight="1" x14ac:dyDescent="0.3">
      <c r="A63" s="143" t="s">
        <v>103</v>
      </c>
      <c r="B63" s="143"/>
      <c r="C63" s="78">
        <f>SUM(C60:C62)</f>
        <v>1589.9320000000002</v>
      </c>
    </row>
    <row r="64" spans="1:4" x14ac:dyDescent="0.3">
      <c r="A64" s="87"/>
    </row>
    <row r="65" spans="1:4" x14ac:dyDescent="0.3">
      <c r="A65" s="142" t="s">
        <v>147</v>
      </c>
      <c r="B65" s="142"/>
      <c r="C65" s="142"/>
      <c r="D65" s="142"/>
    </row>
    <row r="67" spans="1:4" x14ac:dyDescent="0.3">
      <c r="A67" s="1">
        <v>3</v>
      </c>
      <c r="B67" s="74" t="s">
        <v>148</v>
      </c>
      <c r="C67" s="74" t="s">
        <v>108</v>
      </c>
      <c r="D67" s="74" t="s">
        <v>88</v>
      </c>
    </row>
    <row r="68" spans="1:4" x14ac:dyDescent="0.3">
      <c r="A68" s="75" t="s">
        <v>89</v>
      </c>
      <c r="B68" s="88" t="s">
        <v>149</v>
      </c>
      <c r="C68" s="89">
        <f>20.19%*(1/12)</f>
        <v>1.6825E-2</v>
      </c>
      <c r="D68" s="78">
        <f>C68*($C$18+$C$63-$D$33)</f>
        <v>43.505075500000004</v>
      </c>
    </row>
    <row r="69" spans="1:4" x14ac:dyDescent="0.3">
      <c r="A69" s="75" t="s">
        <v>91</v>
      </c>
      <c r="B69" s="88" t="s">
        <v>150</v>
      </c>
      <c r="C69" s="89">
        <f>C41*C68</f>
        <v>1.346E-3</v>
      </c>
      <c r="D69" s="78">
        <f>C69*($C$18+$C$63-$D$33)</f>
        <v>3.4804060400000001</v>
      </c>
    </row>
    <row r="70" spans="1:4" x14ac:dyDescent="0.3">
      <c r="A70" s="75" t="s">
        <v>93</v>
      </c>
      <c r="B70" s="88" t="s">
        <v>151</v>
      </c>
      <c r="C70" s="89">
        <v>0</v>
      </c>
      <c r="D70" s="78">
        <f>C70*($C$18+$C$63-$D$33)</f>
        <v>0</v>
      </c>
    </row>
    <row r="71" spans="1:4" x14ac:dyDescent="0.3">
      <c r="A71" s="75" t="s">
        <v>95</v>
      </c>
      <c r="B71" s="88" t="s">
        <v>152</v>
      </c>
      <c r="C71" s="89">
        <f>(20.19%*(7/30)/12)</f>
        <v>3.9258333333333341E-3</v>
      </c>
      <c r="D71" s="78">
        <f>C71*($C$18+$C$63)</f>
        <v>12.201223043333338</v>
      </c>
    </row>
    <row r="72" spans="1:4" ht="17.25" customHeight="1" x14ac:dyDescent="0.3">
      <c r="A72" s="75" t="s">
        <v>97</v>
      </c>
      <c r="B72" s="88" t="s">
        <v>153</v>
      </c>
      <c r="C72" s="89">
        <f>C42*C71</f>
        <v>1.4447066666666672E-3</v>
      </c>
      <c r="D72" s="78">
        <f>C72*($C$18+$C$63)</f>
        <v>4.4900500799466689</v>
      </c>
    </row>
    <row r="73" spans="1:4" x14ac:dyDescent="0.3">
      <c r="A73" s="75" t="s">
        <v>140</v>
      </c>
      <c r="B73" s="88" t="s">
        <v>154</v>
      </c>
      <c r="C73" s="89">
        <v>0.04</v>
      </c>
      <c r="D73" s="78">
        <f>C73*($C$18+$C$63)</f>
        <v>124.31728000000001</v>
      </c>
    </row>
    <row r="74" spans="1:4" ht="16.2" customHeight="1" x14ac:dyDescent="0.3">
      <c r="A74" s="143" t="s">
        <v>103</v>
      </c>
      <c r="B74" s="143"/>
      <c r="C74" s="89">
        <f>SUM(C68:C73)</f>
        <v>6.3541540000000007E-2</v>
      </c>
      <c r="D74" s="78">
        <f>SUM(D68:D73)</f>
        <v>187.99403466328002</v>
      </c>
    </row>
    <row r="75" spans="1:4" x14ac:dyDescent="0.3">
      <c r="A75" s="142" t="s">
        <v>155</v>
      </c>
      <c r="B75" s="142"/>
      <c r="C75" s="142"/>
      <c r="D75" s="142"/>
    </row>
    <row r="77" spans="1:4" x14ac:dyDescent="0.3">
      <c r="A77" s="144" t="s">
        <v>156</v>
      </c>
      <c r="B77" s="144"/>
      <c r="C77" s="144"/>
      <c r="D77" s="144"/>
    </row>
    <row r="78" spans="1:4" x14ac:dyDescent="0.3">
      <c r="A78" s="80"/>
    </row>
    <row r="79" spans="1:4" x14ac:dyDescent="0.3">
      <c r="A79" s="1" t="s">
        <v>157</v>
      </c>
      <c r="B79" s="74" t="s">
        <v>158</v>
      </c>
      <c r="C79" s="74" t="s">
        <v>108</v>
      </c>
      <c r="D79" s="74" t="s">
        <v>88</v>
      </c>
    </row>
    <row r="80" spans="1:4" x14ac:dyDescent="0.3">
      <c r="A80" s="75" t="s">
        <v>89</v>
      </c>
      <c r="B80" s="88" t="s">
        <v>110</v>
      </c>
      <c r="C80" s="90">
        <f>(1/12)</f>
        <v>8.3333333333333329E-2</v>
      </c>
      <c r="D80" s="78">
        <f>C80*($C$18+$C$63+$D$74)</f>
        <v>274.66050288860669</v>
      </c>
    </row>
    <row r="81" spans="1:4" x14ac:dyDescent="0.3">
      <c r="A81" s="75" t="s">
        <v>91</v>
      </c>
      <c r="B81" s="88" t="s">
        <v>159</v>
      </c>
      <c r="C81" s="90">
        <f>((8/30)/12)</f>
        <v>2.2222222222222223E-2</v>
      </c>
      <c r="D81" s="78">
        <f>C81*($C$18+$C$63+$D$74)</f>
        <v>73.242800770295119</v>
      </c>
    </row>
    <row r="82" spans="1:4" x14ac:dyDescent="0.3">
      <c r="A82" s="75" t="s">
        <v>93</v>
      </c>
      <c r="B82" s="88" t="s">
        <v>160</v>
      </c>
      <c r="C82" s="90">
        <f>(((20/30)/12)*1.5%)</f>
        <v>8.3333333333333328E-4</v>
      </c>
      <c r="D82" s="78">
        <f>C82*($C$18+$C$63+$D$74)</f>
        <v>2.7466050288860671</v>
      </c>
    </row>
    <row r="83" spans="1:4" x14ac:dyDescent="0.3">
      <c r="A83" s="75" t="s">
        <v>95</v>
      </c>
      <c r="B83" s="88" t="s">
        <v>161</v>
      </c>
      <c r="C83" s="90">
        <f>(((15/30)/12)*0.86%)</f>
        <v>3.5833333333333333E-4</v>
      </c>
      <c r="D83" s="78">
        <f>C83*($C$18+$C$63+$D$74)</f>
        <v>1.1810401624210087</v>
      </c>
    </row>
    <row r="84" spans="1:4" x14ac:dyDescent="0.3">
      <c r="A84" s="75" t="s">
        <v>97</v>
      </c>
      <c r="B84" s="88" t="s">
        <v>162</v>
      </c>
      <c r="C84" s="90">
        <f>((6/12)*C42*62.2%*81.2%*((1.86/31)/12))</f>
        <v>4.6465888000000007E-4</v>
      </c>
      <c r="D84" s="78">
        <f>C84*($C$18+$C$63+$D$74)</f>
        <v>1.5314812998294813</v>
      </c>
    </row>
    <row r="85" spans="1:4" ht="16.2" customHeight="1" x14ac:dyDescent="0.3">
      <c r="A85" s="143" t="s">
        <v>131</v>
      </c>
      <c r="B85" s="143"/>
      <c r="C85" s="90">
        <f>SUM(C80:C84)</f>
        <v>0.10721188110222223</v>
      </c>
      <c r="D85" s="78">
        <f>SUM(D80:D84)</f>
        <v>353.36243015003834</v>
      </c>
    </row>
    <row r="87" spans="1:4" x14ac:dyDescent="0.3">
      <c r="A87" s="144" t="s">
        <v>163</v>
      </c>
      <c r="B87" s="144"/>
      <c r="C87" s="144"/>
      <c r="D87" s="144"/>
    </row>
    <row r="88" spans="1:4" x14ac:dyDescent="0.3">
      <c r="A88" s="80"/>
    </row>
    <row r="89" spans="1:4" x14ac:dyDescent="0.3">
      <c r="A89" s="1" t="s">
        <v>164</v>
      </c>
      <c r="B89" s="74" t="s">
        <v>165</v>
      </c>
      <c r="C89" s="74" t="s">
        <v>108</v>
      </c>
      <c r="D89" s="74" t="s">
        <v>88</v>
      </c>
    </row>
    <row r="90" spans="1:4" x14ac:dyDescent="0.3">
      <c r="A90" s="75" t="s">
        <v>89</v>
      </c>
      <c r="B90" s="76" t="s">
        <v>166</v>
      </c>
      <c r="C90" s="91">
        <v>0</v>
      </c>
      <c r="D90" s="78">
        <f>C18*C90</f>
        <v>0</v>
      </c>
    </row>
    <row r="91" spans="1:4" ht="16.2" customHeight="1" x14ac:dyDescent="0.3">
      <c r="A91" s="143" t="s">
        <v>103</v>
      </c>
      <c r="B91" s="143"/>
      <c r="C91" s="91">
        <f>C90</f>
        <v>0</v>
      </c>
      <c r="D91" s="78">
        <f>D90</f>
        <v>0</v>
      </c>
    </row>
    <row r="93" spans="1:4" x14ac:dyDescent="0.3">
      <c r="A93" s="144" t="s">
        <v>167</v>
      </c>
      <c r="B93" s="144"/>
      <c r="C93" s="144"/>
      <c r="D93" s="144"/>
    </row>
    <row r="94" spans="1:4" x14ac:dyDescent="0.3">
      <c r="A94" s="80"/>
    </row>
    <row r="95" spans="1:4" x14ac:dyDescent="0.3">
      <c r="A95" s="1">
        <v>4</v>
      </c>
      <c r="B95" s="74" t="s">
        <v>168</v>
      </c>
      <c r="C95" s="74" t="s">
        <v>88</v>
      </c>
    </row>
    <row r="96" spans="1:4" x14ac:dyDescent="0.3">
      <c r="A96" s="75" t="s">
        <v>157</v>
      </c>
      <c r="B96" s="76" t="s">
        <v>169</v>
      </c>
      <c r="C96" s="78">
        <f>D85</f>
        <v>353.36243015003834</v>
      </c>
      <c r="D96" s="92"/>
    </row>
    <row r="97" spans="1:9" x14ac:dyDescent="0.3">
      <c r="A97" s="75" t="s">
        <v>164</v>
      </c>
      <c r="B97" s="76" t="s">
        <v>170</v>
      </c>
      <c r="C97" s="78">
        <f>D91</f>
        <v>0</v>
      </c>
      <c r="D97" s="92"/>
    </row>
    <row r="98" spans="1:9" ht="16.2" customHeight="1" x14ac:dyDescent="0.3">
      <c r="A98" s="143" t="s">
        <v>103</v>
      </c>
      <c r="B98" s="143"/>
      <c r="C98" s="78">
        <f>SUM(C96:C97)</f>
        <v>353.36243015003834</v>
      </c>
      <c r="D98" s="92"/>
    </row>
    <row r="100" spans="1:9" x14ac:dyDescent="0.3">
      <c r="A100" s="142" t="s">
        <v>171</v>
      </c>
      <c r="B100" s="142"/>
      <c r="C100" s="142"/>
      <c r="D100" s="142"/>
    </row>
    <row r="102" spans="1:9" x14ac:dyDescent="0.3">
      <c r="A102" s="1">
        <v>5</v>
      </c>
      <c r="B102" s="93" t="s">
        <v>172</v>
      </c>
      <c r="C102" s="74" t="s">
        <v>88</v>
      </c>
    </row>
    <row r="103" spans="1:9" x14ac:dyDescent="0.3">
      <c r="A103" s="75" t="s">
        <v>89</v>
      </c>
      <c r="B103" s="76" t="s">
        <v>198</v>
      </c>
      <c r="C103" s="84">
        <f>UNIFORME!H21</f>
        <v>113.14166666666669</v>
      </c>
    </row>
    <row r="104" spans="1:9" x14ac:dyDescent="0.3">
      <c r="A104" s="75" t="s">
        <v>91</v>
      </c>
      <c r="B104" s="76" t="s">
        <v>200</v>
      </c>
      <c r="C104" s="84">
        <f t="array" ref="C104:D104">'INSUMOS COPA'!H12:I12</f>
        <v>0</v>
      </c>
      <c r="D104" s="69">
        <v>0</v>
      </c>
    </row>
    <row r="105" spans="1:9" x14ac:dyDescent="0.3">
      <c r="A105" s="75" t="s">
        <v>93</v>
      </c>
      <c r="B105" s="76" t="s">
        <v>175</v>
      </c>
      <c r="C105" s="84">
        <v>0</v>
      </c>
    </row>
    <row r="106" spans="1:9" ht="16.2" customHeight="1" x14ac:dyDescent="0.3">
      <c r="A106" s="143" t="s">
        <v>131</v>
      </c>
      <c r="B106" s="143"/>
      <c r="C106" s="78">
        <f>C103+C104+C105</f>
        <v>113.14166666666669</v>
      </c>
    </row>
    <row r="108" spans="1:9" x14ac:dyDescent="0.3">
      <c r="A108" s="142" t="s">
        <v>176</v>
      </c>
      <c r="B108" s="142"/>
      <c r="C108" s="142"/>
      <c r="D108" s="142"/>
    </row>
    <row r="110" spans="1:9" x14ac:dyDescent="0.3">
      <c r="A110" s="1">
        <v>6</v>
      </c>
      <c r="B110" s="93" t="s">
        <v>177</v>
      </c>
      <c r="C110" s="74" t="s">
        <v>108</v>
      </c>
      <c r="D110" s="74" t="s">
        <v>88</v>
      </c>
    </row>
    <row r="111" spans="1:9" x14ac:dyDescent="0.3">
      <c r="A111" s="75" t="s">
        <v>89</v>
      </c>
      <c r="B111" s="76" t="s">
        <v>178</v>
      </c>
      <c r="C111" s="90">
        <v>0.08</v>
      </c>
      <c r="D111" s="78">
        <f>C111*C129</f>
        <v>300.99441051839887</v>
      </c>
    </row>
    <row r="112" spans="1:9" x14ac:dyDescent="0.3">
      <c r="A112" s="75" t="s">
        <v>91</v>
      </c>
      <c r="B112" s="76" t="s">
        <v>179</v>
      </c>
      <c r="C112" s="90">
        <v>6.7900000000000002E-2</v>
      </c>
      <c r="D112" s="78">
        <f>(D111+C129)*C112</f>
        <v>275.90652640169031</v>
      </c>
      <c r="I112" s="94"/>
    </row>
    <row r="113" spans="1:8" x14ac:dyDescent="0.3">
      <c r="A113" s="75" t="s">
        <v>93</v>
      </c>
      <c r="B113" s="76" t="s">
        <v>180</v>
      </c>
      <c r="C113" s="90">
        <f>C114+C117+C118</f>
        <v>8.6499999999999994E-2</v>
      </c>
      <c r="D113" s="78">
        <f>((D111+D112+C129)/(100%-C113))-(D111+D112+C129)</f>
        <v>410.89451277132594</v>
      </c>
    </row>
    <row r="114" spans="1:8" x14ac:dyDescent="0.3">
      <c r="A114" s="75" t="s">
        <v>181</v>
      </c>
      <c r="B114" s="76" t="s">
        <v>182</v>
      </c>
      <c r="C114" s="90">
        <f>SUM(C115:C116)</f>
        <v>3.6499999999999998E-2</v>
      </c>
      <c r="D114" s="95"/>
    </row>
    <row r="115" spans="1:8" x14ac:dyDescent="0.3">
      <c r="A115" s="75"/>
      <c r="B115" s="83" t="s">
        <v>183</v>
      </c>
      <c r="C115" s="90">
        <v>0.03</v>
      </c>
      <c r="D115" s="95"/>
    </row>
    <row r="116" spans="1:8" x14ac:dyDescent="0.3">
      <c r="A116" s="75"/>
      <c r="B116" s="83" t="s">
        <v>184</v>
      </c>
      <c r="C116" s="90">
        <v>6.4999999999999997E-3</v>
      </c>
      <c r="D116" s="95"/>
      <c r="H116" s="92"/>
    </row>
    <row r="117" spans="1:8" x14ac:dyDescent="0.3">
      <c r="A117" s="75" t="s">
        <v>185</v>
      </c>
      <c r="B117" s="83" t="s">
        <v>186</v>
      </c>
      <c r="C117" s="90">
        <v>0</v>
      </c>
      <c r="D117" s="95"/>
      <c r="F117" s="92"/>
      <c r="H117" s="92"/>
    </row>
    <row r="118" spans="1:8" x14ac:dyDescent="0.3">
      <c r="A118" s="75" t="s">
        <v>187</v>
      </c>
      <c r="B118" s="83" t="s">
        <v>188</v>
      </c>
      <c r="C118" s="90">
        <v>0.05</v>
      </c>
      <c r="D118" s="95"/>
      <c r="F118" s="92"/>
    </row>
    <row r="119" spans="1:8" ht="16.2" customHeight="1" x14ac:dyDescent="0.3">
      <c r="A119" s="143" t="s">
        <v>131</v>
      </c>
      <c r="B119" s="143"/>
      <c r="C119" s="81"/>
      <c r="D119" s="78">
        <f>D111+D112+D113</f>
        <v>987.79544969141512</v>
      </c>
    </row>
    <row r="120" spans="1:8" x14ac:dyDescent="0.3">
      <c r="F120" s="92"/>
    </row>
    <row r="121" spans="1:8" x14ac:dyDescent="0.3">
      <c r="A121" s="142" t="s">
        <v>189</v>
      </c>
      <c r="B121" s="142"/>
      <c r="C121" s="142"/>
      <c r="D121" s="142"/>
    </row>
    <row r="123" spans="1:8" x14ac:dyDescent="0.3">
      <c r="A123" s="1"/>
      <c r="B123" s="74" t="s">
        <v>190</v>
      </c>
      <c r="C123" s="74" t="s">
        <v>88</v>
      </c>
    </row>
    <row r="124" spans="1:8" x14ac:dyDescent="0.3">
      <c r="A124" s="96" t="s">
        <v>89</v>
      </c>
      <c r="B124" s="76" t="s">
        <v>191</v>
      </c>
      <c r="C124" s="97">
        <f>C18</f>
        <v>1518</v>
      </c>
    </row>
    <row r="125" spans="1:8" x14ac:dyDescent="0.3">
      <c r="A125" s="96" t="s">
        <v>91</v>
      </c>
      <c r="B125" s="76" t="s">
        <v>192</v>
      </c>
      <c r="C125" s="97">
        <f>C63</f>
        <v>1589.9320000000002</v>
      </c>
    </row>
    <row r="126" spans="1:8" x14ac:dyDescent="0.3">
      <c r="A126" s="96" t="s">
        <v>93</v>
      </c>
      <c r="B126" s="76" t="s">
        <v>147</v>
      </c>
      <c r="C126" s="97">
        <f>D74</f>
        <v>187.99403466328002</v>
      </c>
    </row>
    <row r="127" spans="1:8" x14ac:dyDescent="0.3">
      <c r="A127" s="96" t="s">
        <v>95</v>
      </c>
      <c r="B127" s="76" t="s">
        <v>155</v>
      </c>
      <c r="C127" s="97">
        <f>C98</f>
        <v>353.36243015003834</v>
      </c>
    </row>
    <row r="128" spans="1:8" x14ac:dyDescent="0.3">
      <c r="A128" s="96" t="s">
        <v>97</v>
      </c>
      <c r="B128" s="76" t="s">
        <v>171</v>
      </c>
      <c r="C128" s="97">
        <f>C106</f>
        <v>113.14166666666669</v>
      </c>
    </row>
    <row r="129" spans="1:4" ht="16.2" customHeight="1" x14ac:dyDescent="0.3">
      <c r="A129" s="143" t="s">
        <v>193</v>
      </c>
      <c r="B129" s="143"/>
      <c r="C129" s="97">
        <f>SUM(C124:C128)</f>
        <v>3762.4301314799854</v>
      </c>
      <c r="D129" s="92"/>
    </row>
    <row r="130" spans="1:4" x14ac:dyDescent="0.3">
      <c r="A130" s="96" t="s">
        <v>140</v>
      </c>
      <c r="B130" s="76" t="s">
        <v>194</v>
      </c>
      <c r="C130" s="97">
        <f>D119</f>
        <v>987.79544969141512</v>
      </c>
    </row>
    <row r="131" spans="1:4" ht="16.2" customHeight="1" x14ac:dyDescent="0.3">
      <c r="A131" s="143" t="s">
        <v>195</v>
      </c>
      <c r="B131" s="143"/>
      <c r="C131" s="97">
        <f>C130+C129</f>
        <v>4750.2255811714003</v>
      </c>
      <c r="D131" s="92"/>
    </row>
    <row r="132" spans="1:4" x14ac:dyDescent="0.3">
      <c r="A132" s="98"/>
      <c r="B132" s="98"/>
      <c r="C132" s="99"/>
      <c r="D132" s="92"/>
    </row>
    <row r="133" spans="1:4" ht="33" customHeight="1" x14ac:dyDescent="0.3">
      <c r="A133" s="146" t="s">
        <v>196</v>
      </c>
      <c r="B133" s="146"/>
      <c r="C133" s="146"/>
      <c r="D133" s="146"/>
    </row>
    <row r="134" spans="1:4" ht="27.75" customHeight="1" x14ac:dyDescent="0.3">
      <c r="A134" s="146"/>
      <c r="B134" s="146"/>
      <c r="C134" s="146"/>
      <c r="D134" s="146"/>
    </row>
  </sheetData>
  <mergeCells count="34">
    <mergeCell ref="A121:D121"/>
    <mergeCell ref="A129:B129"/>
    <mergeCell ref="A131:B131"/>
    <mergeCell ref="A133:D134"/>
    <mergeCell ref="A98:B98"/>
    <mergeCell ref="A100:D100"/>
    <mergeCell ref="A106:B106"/>
    <mergeCell ref="A108:D108"/>
    <mergeCell ref="A119:B119"/>
    <mergeCell ref="A77:D77"/>
    <mergeCell ref="A85:B85"/>
    <mergeCell ref="A87:D87"/>
    <mergeCell ref="A91:B91"/>
    <mergeCell ref="A93:D93"/>
    <mergeCell ref="A57:D57"/>
    <mergeCell ref="A63:B63"/>
    <mergeCell ref="A65:D65"/>
    <mergeCell ref="A74:B74"/>
    <mergeCell ref="A75:D75"/>
    <mergeCell ref="A28:B28"/>
    <mergeCell ref="A30:D30"/>
    <mergeCell ref="A42:B42"/>
    <mergeCell ref="A44:D44"/>
    <mergeCell ref="A55:B55"/>
    <mergeCell ref="C6:D6"/>
    <mergeCell ref="A8:D8"/>
    <mergeCell ref="A18:B18"/>
    <mergeCell ref="A20:D20"/>
    <mergeCell ref="A22:D22"/>
    <mergeCell ref="A1:D1"/>
    <mergeCell ref="A2:D2"/>
    <mergeCell ref="A3:D3"/>
    <mergeCell ref="C4:D4"/>
    <mergeCell ref="A5:D5"/>
  </mergeCells>
  <pageMargins left="0.51180555555555496" right="0.51180555555555496" top="0.39374999999999999" bottom="0.39374999999999999" header="0.51180555555555496" footer="0.51180555555555496"/>
  <pageSetup paperSize="9" scale="65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H21"/>
  <sheetViews>
    <sheetView topLeftCell="A3" zoomScaleNormal="100" zoomScalePageLayoutView="110" workbookViewId="0">
      <selection activeCell="G18" sqref="G18"/>
    </sheetView>
  </sheetViews>
  <sheetFormatPr defaultColWidth="8.6640625" defaultRowHeight="14.4" x14ac:dyDescent="0.3"/>
  <cols>
    <col min="1" max="1" width="5.6640625" customWidth="1"/>
    <col min="2" max="2" width="52.88671875" customWidth="1"/>
    <col min="3" max="3" width="7.88671875" customWidth="1"/>
    <col min="4" max="4" width="10" customWidth="1"/>
    <col min="5" max="5" width="12.6640625" customWidth="1"/>
    <col min="6" max="6" width="14.109375" customWidth="1"/>
    <col min="7" max="7" width="16" customWidth="1"/>
    <col min="8" max="8" width="19.33203125" customWidth="1"/>
  </cols>
  <sheetData>
    <row r="1" spans="1:8" x14ac:dyDescent="0.3">
      <c r="A1" s="150" t="s">
        <v>201</v>
      </c>
      <c r="B1" s="150"/>
      <c r="C1" s="150"/>
      <c r="D1" s="150"/>
      <c r="E1" s="150"/>
      <c r="F1" s="150"/>
      <c r="G1" s="150"/>
      <c r="H1" s="150"/>
    </row>
    <row r="2" spans="1:8" ht="27.6" x14ac:dyDescent="0.3">
      <c r="A2" s="102" t="s">
        <v>202</v>
      </c>
      <c r="B2" s="103" t="s">
        <v>203</v>
      </c>
      <c r="C2" s="102" t="s">
        <v>204</v>
      </c>
      <c r="D2" s="102" t="s">
        <v>205</v>
      </c>
      <c r="E2" s="104" t="s">
        <v>206</v>
      </c>
      <c r="F2" s="104" t="s">
        <v>207</v>
      </c>
      <c r="G2" s="105" t="s">
        <v>208</v>
      </c>
      <c r="H2" s="104" t="s">
        <v>209</v>
      </c>
    </row>
    <row r="3" spans="1:8" x14ac:dyDescent="0.3">
      <c r="A3" s="106">
        <v>1</v>
      </c>
      <c r="B3" s="107" t="s">
        <v>210</v>
      </c>
      <c r="C3" s="102" t="s">
        <v>211</v>
      </c>
      <c r="D3" s="102" t="s">
        <v>212</v>
      </c>
      <c r="E3" s="102">
        <v>3</v>
      </c>
      <c r="F3" s="102">
        <f>E3*2</f>
        <v>6</v>
      </c>
      <c r="G3" s="108">
        <v>85</v>
      </c>
      <c r="H3" s="108">
        <f>G3*F3</f>
        <v>510</v>
      </c>
    </row>
    <row r="4" spans="1:8" ht="27.6" x14ac:dyDescent="0.3">
      <c r="A4" s="106">
        <v>2</v>
      </c>
      <c r="B4" s="107" t="s">
        <v>213</v>
      </c>
      <c r="C4" s="102" t="s">
        <v>211</v>
      </c>
      <c r="D4" s="102" t="s">
        <v>212</v>
      </c>
      <c r="E4" s="102">
        <v>3</v>
      </c>
      <c r="F4" s="102">
        <f>E4*2</f>
        <v>6</v>
      </c>
      <c r="G4" s="108">
        <v>65</v>
      </c>
      <c r="H4" s="108">
        <f>F4*G4</f>
        <v>390</v>
      </c>
    </row>
    <row r="5" spans="1:8" x14ac:dyDescent="0.3">
      <c r="A5" s="106">
        <v>3</v>
      </c>
      <c r="B5" s="107" t="s">
        <v>214</v>
      </c>
      <c r="C5" s="102" t="s">
        <v>215</v>
      </c>
      <c r="D5" s="104" t="s">
        <v>212</v>
      </c>
      <c r="E5" s="102">
        <v>1</v>
      </c>
      <c r="F5" s="102">
        <f>E5*2</f>
        <v>2</v>
      </c>
      <c r="G5" s="108">
        <v>109.9</v>
      </c>
      <c r="H5" s="108">
        <f>F5*G5</f>
        <v>219.8</v>
      </c>
    </row>
    <row r="6" spans="1:8" x14ac:dyDescent="0.3">
      <c r="A6" s="106">
        <v>5</v>
      </c>
      <c r="B6" s="107" t="s">
        <v>216</v>
      </c>
      <c r="C6" s="102" t="s">
        <v>215</v>
      </c>
      <c r="D6" s="104" t="s">
        <v>212</v>
      </c>
      <c r="E6" s="102">
        <v>2</v>
      </c>
      <c r="F6" s="102">
        <v>2</v>
      </c>
      <c r="G6" s="108">
        <v>10</v>
      </c>
      <c r="H6" s="108">
        <f>F6*G6</f>
        <v>20</v>
      </c>
    </row>
    <row r="7" spans="1:8" x14ac:dyDescent="0.3">
      <c r="A7" s="106">
        <v>6</v>
      </c>
      <c r="B7" s="109" t="s">
        <v>217</v>
      </c>
      <c r="C7" s="102" t="s">
        <v>211</v>
      </c>
      <c r="D7" s="104" t="s">
        <v>212</v>
      </c>
      <c r="E7" s="102">
        <v>1</v>
      </c>
      <c r="F7" s="102">
        <v>1</v>
      </c>
      <c r="G7" s="108">
        <v>15</v>
      </c>
      <c r="H7" s="108">
        <f>F7*G7</f>
        <v>15</v>
      </c>
    </row>
    <row r="9" spans="1:8" x14ac:dyDescent="0.3">
      <c r="F9" s="151" t="s">
        <v>218</v>
      </c>
      <c r="G9" s="151"/>
      <c r="H9" s="110">
        <f>SUM(H3:H7)</f>
        <v>1154.8</v>
      </c>
    </row>
    <row r="10" spans="1:8" x14ac:dyDescent="0.3">
      <c r="F10" s="151" t="s">
        <v>219</v>
      </c>
      <c r="G10" s="151"/>
      <c r="H10" s="110">
        <f>H9/12</f>
        <v>96.233333333333334</v>
      </c>
    </row>
    <row r="12" spans="1:8" x14ac:dyDescent="0.3">
      <c r="A12" s="150" t="s">
        <v>220</v>
      </c>
      <c r="B12" s="150"/>
      <c r="C12" s="150"/>
      <c r="D12" s="150"/>
      <c r="E12" s="150"/>
      <c r="F12" s="150"/>
      <c r="G12" s="150"/>
      <c r="H12" s="150"/>
    </row>
    <row r="13" spans="1:8" ht="27.6" x14ac:dyDescent="0.3">
      <c r="A13" s="102" t="s">
        <v>202</v>
      </c>
      <c r="B13" s="103" t="s">
        <v>203</v>
      </c>
      <c r="C13" s="102" t="s">
        <v>204</v>
      </c>
      <c r="D13" s="102" t="s">
        <v>205</v>
      </c>
      <c r="E13" s="104" t="s">
        <v>206</v>
      </c>
      <c r="F13" s="104" t="s">
        <v>207</v>
      </c>
      <c r="G13" s="105" t="s">
        <v>208</v>
      </c>
      <c r="H13" s="104" t="s">
        <v>209</v>
      </c>
    </row>
    <row r="14" spans="1:8" ht="27.6" x14ac:dyDescent="0.3">
      <c r="A14" s="106">
        <v>1</v>
      </c>
      <c r="B14" s="107" t="s">
        <v>221</v>
      </c>
      <c r="C14" s="102" t="s">
        <v>211</v>
      </c>
      <c r="D14" s="102" t="s">
        <v>212</v>
      </c>
      <c r="E14" s="102">
        <v>3</v>
      </c>
      <c r="F14" s="102">
        <f>E14*2</f>
        <v>6</v>
      </c>
      <c r="G14" s="108">
        <v>89.9</v>
      </c>
      <c r="H14" s="108">
        <f>G14*F14</f>
        <v>539.40000000000009</v>
      </c>
    </row>
    <row r="15" spans="1:8" x14ac:dyDescent="0.3">
      <c r="A15" s="106">
        <v>2</v>
      </c>
      <c r="B15" s="107" t="s">
        <v>222</v>
      </c>
      <c r="C15" s="102" t="s">
        <v>211</v>
      </c>
      <c r="D15" s="102" t="s">
        <v>212</v>
      </c>
      <c r="E15" s="102">
        <v>3</v>
      </c>
      <c r="F15" s="102">
        <f>E15*2</f>
        <v>6</v>
      </c>
      <c r="G15" s="108">
        <v>89.9</v>
      </c>
      <c r="H15" s="108">
        <f t="shared" ref="H15:H18" si="0">F15*G15</f>
        <v>539.40000000000009</v>
      </c>
    </row>
    <row r="16" spans="1:8" x14ac:dyDescent="0.3">
      <c r="A16" s="106">
        <v>3</v>
      </c>
      <c r="B16" s="107" t="s">
        <v>223</v>
      </c>
      <c r="C16" s="102" t="s">
        <v>215</v>
      </c>
      <c r="D16" s="104" t="s">
        <v>212</v>
      </c>
      <c r="E16" s="102">
        <v>1</v>
      </c>
      <c r="F16" s="102">
        <f>E16*2</f>
        <v>2</v>
      </c>
      <c r="G16" s="108">
        <v>89</v>
      </c>
      <c r="H16" s="108">
        <f t="shared" si="0"/>
        <v>178</v>
      </c>
    </row>
    <row r="17" spans="1:8" ht="27.6" x14ac:dyDescent="0.3">
      <c r="A17" s="106">
        <v>6</v>
      </c>
      <c r="B17" s="107" t="s">
        <v>224</v>
      </c>
      <c r="C17" s="102" t="s">
        <v>211</v>
      </c>
      <c r="D17" s="104" t="s">
        <v>212</v>
      </c>
      <c r="E17" s="102">
        <v>1</v>
      </c>
      <c r="F17" s="102">
        <v>1</v>
      </c>
      <c r="G17" s="108">
        <v>85.9</v>
      </c>
      <c r="H17" s="108">
        <f t="shared" si="0"/>
        <v>85.9</v>
      </c>
    </row>
    <row r="18" spans="1:8" x14ac:dyDescent="0.3">
      <c r="A18" s="106">
        <v>6</v>
      </c>
      <c r="B18" s="109" t="s">
        <v>217</v>
      </c>
      <c r="C18" s="102" t="s">
        <v>211</v>
      </c>
      <c r="D18" s="104" t="s">
        <v>212</v>
      </c>
      <c r="E18" s="102">
        <v>1</v>
      </c>
      <c r="F18" s="102">
        <v>1</v>
      </c>
      <c r="G18" s="108">
        <v>15</v>
      </c>
      <c r="H18" s="108">
        <f t="shared" si="0"/>
        <v>15</v>
      </c>
    </row>
    <row r="20" spans="1:8" x14ac:dyDescent="0.3">
      <c r="F20" s="149" t="s">
        <v>218</v>
      </c>
      <c r="G20" s="149"/>
      <c r="H20" s="111">
        <f>SUM(H14:H18)</f>
        <v>1357.7000000000003</v>
      </c>
    </row>
    <row r="21" spans="1:8" x14ac:dyDescent="0.3">
      <c r="F21" s="149" t="s">
        <v>219</v>
      </c>
      <c r="G21" s="149"/>
      <c r="H21" s="111">
        <f>H20/12</f>
        <v>113.14166666666669</v>
      </c>
    </row>
  </sheetData>
  <mergeCells count="6">
    <mergeCell ref="F21:G21"/>
    <mergeCell ref="A1:H1"/>
    <mergeCell ref="F9:G9"/>
    <mergeCell ref="F10:G10"/>
    <mergeCell ref="A12:H12"/>
    <mergeCell ref="F20:G20"/>
  </mergeCells>
  <printOptions horizontalCentered="1"/>
  <pageMargins left="0.51180555555555496" right="0.31527777777777799" top="0.59027777777777801" bottom="0.59027777777777801" header="0.51180555555555496" footer="0.51180555555555496"/>
  <pageSetup scale="7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K50"/>
  <sheetViews>
    <sheetView topLeftCell="A32" zoomScaleNormal="100" workbookViewId="0">
      <selection activeCell="G37" sqref="G37:H37"/>
    </sheetView>
  </sheetViews>
  <sheetFormatPr defaultColWidth="8.6640625" defaultRowHeight="14.4" x14ac:dyDescent="0.3"/>
  <cols>
    <col min="3" max="3" width="30.109375" customWidth="1"/>
    <col min="4" max="4" width="8.88671875" customWidth="1"/>
    <col min="9" max="9" width="10.109375" customWidth="1"/>
  </cols>
  <sheetData>
    <row r="1" spans="1:10" x14ac:dyDescent="0.3">
      <c r="A1" s="152" t="s">
        <v>328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3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0" x14ac:dyDescent="0.3">
      <c r="A3" s="154" t="s">
        <v>225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3">
      <c r="A4" s="113"/>
      <c r="B4" s="113"/>
      <c r="C4" s="113"/>
      <c r="D4" s="113"/>
      <c r="E4" s="113"/>
      <c r="F4" s="113"/>
      <c r="G4" s="113"/>
      <c r="H4" s="113"/>
      <c r="I4" s="113"/>
      <c r="J4" s="113"/>
    </row>
    <row r="5" spans="1:10" ht="22.8" x14ac:dyDescent="0.3">
      <c r="A5" s="114" t="s">
        <v>226</v>
      </c>
      <c r="B5" s="155" t="s">
        <v>227</v>
      </c>
      <c r="C5" s="155"/>
      <c r="D5" s="115" t="s">
        <v>228</v>
      </c>
      <c r="E5" s="115" t="s">
        <v>229</v>
      </c>
      <c r="F5" s="115" t="s">
        <v>230</v>
      </c>
      <c r="G5" s="155" t="s">
        <v>231</v>
      </c>
      <c r="H5" s="155"/>
      <c r="I5" s="155" t="s">
        <v>232</v>
      </c>
      <c r="J5" s="155"/>
    </row>
    <row r="6" spans="1:10" ht="27" customHeight="1" x14ac:dyDescent="0.3">
      <c r="A6" s="116">
        <f t="shared" ref="A6:A38" si="0">ROW()-5</f>
        <v>1</v>
      </c>
      <c r="B6" s="156" t="s">
        <v>233</v>
      </c>
      <c r="C6" s="156"/>
      <c r="D6" s="118" t="s">
        <v>234</v>
      </c>
      <c r="E6" s="118">
        <v>10</v>
      </c>
      <c r="F6" s="118"/>
      <c r="G6" s="157">
        <v>4.34</v>
      </c>
      <c r="H6" s="157"/>
      <c r="I6" s="158">
        <f t="shared" ref="I6:I38" si="1">(E6*G6)</f>
        <v>43.4</v>
      </c>
      <c r="J6" s="158"/>
    </row>
    <row r="7" spans="1:10" ht="30.6" customHeight="1" x14ac:dyDescent="0.3">
      <c r="A7" s="116">
        <f t="shared" si="0"/>
        <v>2</v>
      </c>
      <c r="B7" s="156" t="s">
        <v>235</v>
      </c>
      <c r="C7" s="156"/>
      <c r="D7" s="118" t="s">
        <v>234</v>
      </c>
      <c r="E7" s="118">
        <v>36</v>
      </c>
      <c r="F7" s="118"/>
      <c r="G7" s="157">
        <v>1.91</v>
      </c>
      <c r="H7" s="157"/>
      <c r="I7" s="158">
        <f t="shared" si="1"/>
        <v>68.759999999999991</v>
      </c>
      <c r="J7" s="158"/>
    </row>
    <row r="8" spans="1:10" ht="30" customHeight="1" x14ac:dyDescent="0.3">
      <c r="A8" s="116">
        <f t="shared" si="0"/>
        <v>3</v>
      </c>
      <c r="B8" s="156" t="s">
        <v>236</v>
      </c>
      <c r="C8" s="156"/>
      <c r="D8" s="118" t="s">
        <v>241</v>
      </c>
      <c r="E8" s="118">
        <v>6</v>
      </c>
      <c r="F8" s="118"/>
      <c r="G8" s="157">
        <v>10.25</v>
      </c>
      <c r="H8" s="157"/>
      <c r="I8" s="158">
        <f t="shared" si="1"/>
        <v>61.5</v>
      </c>
      <c r="J8" s="158"/>
    </row>
    <row r="9" spans="1:10" ht="28.2" customHeight="1" x14ac:dyDescent="0.3">
      <c r="A9" s="116">
        <f t="shared" si="0"/>
        <v>4</v>
      </c>
      <c r="B9" s="156" t="s">
        <v>237</v>
      </c>
      <c r="C9" s="156"/>
      <c r="D9" s="118" t="s">
        <v>234</v>
      </c>
      <c r="E9" s="118">
        <v>40</v>
      </c>
      <c r="F9" s="118"/>
      <c r="G9" s="157">
        <v>2.21</v>
      </c>
      <c r="H9" s="157"/>
      <c r="I9" s="158">
        <f t="shared" si="1"/>
        <v>88.4</v>
      </c>
      <c r="J9" s="158"/>
    </row>
    <row r="10" spans="1:10" ht="32.4" customHeight="1" x14ac:dyDescent="0.3">
      <c r="A10" s="116">
        <f t="shared" si="0"/>
        <v>5</v>
      </c>
      <c r="B10" s="156" t="s">
        <v>238</v>
      </c>
      <c r="C10" s="156"/>
      <c r="D10" s="118" t="s">
        <v>239</v>
      </c>
      <c r="E10" s="118">
        <v>15</v>
      </c>
      <c r="F10" s="118"/>
      <c r="G10" s="157">
        <v>4.96</v>
      </c>
      <c r="H10" s="157"/>
      <c r="I10" s="158">
        <f t="shared" si="1"/>
        <v>74.400000000000006</v>
      </c>
      <c r="J10" s="158"/>
    </row>
    <row r="11" spans="1:10" ht="31.2" customHeight="1" x14ac:dyDescent="0.3">
      <c r="A11" s="116">
        <f t="shared" si="0"/>
        <v>6</v>
      </c>
      <c r="B11" s="159" t="s">
        <v>240</v>
      </c>
      <c r="C11" s="159"/>
      <c r="D11" s="118" t="s">
        <v>241</v>
      </c>
      <c r="E11" s="118">
        <v>5</v>
      </c>
      <c r="F11" s="118"/>
      <c r="G11" s="157">
        <v>2.59</v>
      </c>
      <c r="H11" s="157"/>
      <c r="I11" s="158">
        <f t="shared" si="1"/>
        <v>12.95</v>
      </c>
      <c r="J11" s="158"/>
    </row>
    <row r="12" spans="1:10" ht="22.8" customHeight="1" x14ac:dyDescent="0.3">
      <c r="A12" s="116">
        <f t="shared" si="0"/>
        <v>7</v>
      </c>
      <c r="B12" s="156" t="s">
        <v>242</v>
      </c>
      <c r="C12" s="156"/>
      <c r="D12" s="118" t="s">
        <v>241</v>
      </c>
      <c r="E12" s="118">
        <v>1</v>
      </c>
      <c r="F12" s="119"/>
      <c r="G12" s="157">
        <v>11.53</v>
      </c>
      <c r="H12" s="157"/>
      <c r="I12" s="158">
        <f t="shared" si="1"/>
        <v>11.53</v>
      </c>
      <c r="J12" s="158"/>
    </row>
    <row r="13" spans="1:10" ht="28.2" customHeight="1" x14ac:dyDescent="0.3">
      <c r="A13" s="116">
        <f t="shared" si="0"/>
        <v>8</v>
      </c>
      <c r="B13" s="156" t="s">
        <v>243</v>
      </c>
      <c r="C13" s="156"/>
      <c r="D13" s="118" t="s">
        <v>241</v>
      </c>
      <c r="E13" s="118">
        <v>20</v>
      </c>
      <c r="F13" s="119"/>
      <c r="G13" s="157">
        <v>0.95</v>
      </c>
      <c r="H13" s="157"/>
      <c r="I13" s="158">
        <f t="shared" si="1"/>
        <v>19</v>
      </c>
      <c r="J13" s="158"/>
    </row>
    <row r="14" spans="1:10" ht="22.8" customHeight="1" x14ac:dyDescent="0.3">
      <c r="A14" s="116">
        <f t="shared" si="0"/>
        <v>9</v>
      </c>
      <c r="B14" s="160" t="s">
        <v>244</v>
      </c>
      <c r="C14" s="160"/>
      <c r="D14" s="121" t="s">
        <v>241</v>
      </c>
      <c r="E14" s="121">
        <v>10</v>
      </c>
      <c r="F14" s="122"/>
      <c r="G14" s="161">
        <v>4.5</v>
      </c>
      <c r="H14" s="161"/>
      <c r="I14" s="158">
        <f t="shared" si="1"/>
        <v>45</v>
      </c>
      <c r="J14" s="158"/>
    </row>
    <row r="15" spans="1:10" ht="30" customHeight="1" x14ac:dyDescent="0.3">
      <c r="A15" s="116">
        <f t="shared" si="0"/>
        <v>10</v>
      </c>
      <c r="B15" s="156" t="s">
        <v>245</v>
      </c>
      <c r="C15" s="156"/>
      <c r="D15" s="118" t="s">
        <v>241</v>
      </c>
      <c r="E15" s="118">
        <v>24</v>
      </c>
      <c r="F15" s="119"/>
      <c r="G15" s="157">
        <v>3.59</v>
      </c>
      <c r="H15" s="157"/>
      <c r="I15" s="158">
        <f t="shared" si="1"/>
        <v>86.16</v>
      </c>
      <c r="J15" s="158"/>
    </row>
    <row r="16" spans="1:10" ht="25.8" customHeight="1" x14ac:dyDescent="0.3">
      <c r="A16" s="116">
        <f t="shared" si="0"/>
        <v>11</v>
      </c>
      <c r="B16" s="156" t="s">
        <v>246</v>
      </c>
      <c r="C16" s="156"/>
      <c r="D16" s="118" t="s">
        <v>241</v>
      </c>
      <c r="E16" s="118">
        <v>10</v>
      </c>
      <c r="F16" s="119"/>
      <c r="G16" s="157">
        <v>9.5500000000000007</v>
      </c>
      <c r="H16" s="157"/>
      <c r="I16" s="158">
        <f t="shared" si="1"/>
        <v>95.5</v>
      </c>
      <c r="J16" s="158"/>
    </row>
    <row r="17" spans="1:11" ht="33.6" customHeight="1" x14ac:dyDescent="0.3">
      <c r="A17" s="116">
        <f t="shared" si="0"/>
        <v>12</v>
      </c>
      <c r="B17" s="156" t="s">
        <v>324</v>
      </c>
      <c r="C17" s="156"/>
      <c r="D17" s="118" t="s">
        <v>325</v>
      </c>
      <c r="E17" s="118">
        <v>64</v>
      </c>
      <c r="F17" s="119"/>
      <c r="G17" s="157">
        <v>4.25</v>
      </c>
      <c r="H17" s="157"/>
      <c r="I17" s="158">
        <f t="shared" si="1"/>
        <v>272</v>
      </c>
      <c r="J17" s="158"/>
    </row>
    <row r="18" spans="1:11" ht="36.6" customHeight="1" x14ac:dyDescent="0.3">
      <c r="A18" s="116">
        <f t="shared" si="0"/>
        <v>13</v>
      </c>
      <c r="B18" s="156" t="s">
        <v>247</v>
      </c>
      <c r="C18" s="156"/>
      <c r="D18" s="118" t="s">
        <v>248</v>
      </c>
      <c r="E18" s="118">
        <v>20</v>
      </c>
      <c r="F18" s="119"/>
      <c r="G18" s="157">
        <v>15.85</v>
      </c>
      <c r="H18" s="157"/>
      <c r="I18" s="158">
        <f t="shared" si="1"/>
        <v>317</v>
      </c>
      <c r="J18" s="158"/>
    </row>
    <row r="19" spans="1:11" ht="24" customHeight="1" x14ac:dyDescent="0.3">
      <c r="A19" s="116">
        <f t="shared" si="0"/>
        <v>14</v>
      </c>
      <c r="B19" s="156" t="s">
        <v>249</v>
      </c>
      <c r="C19" s="156"/>
      <c r="D19" s="118" t="s">
        <v>250</v>
      </c>
      <c r="E19" s="118">
        <v>20</v>
      </c>
      <c r="F19" s="119"/>
      <c r="G19" s="157">
        <v>6.5</v>
      </c>
      <c r="H19" s="157"/>
      <c r="I19" s="158">
        <f t="shared" si="1"/>
        <v>130</v>
      </c>
      <c r="J19" s="158"/>
    </row>
    <row r="20" spans="1:11" ht="21.6" customHeight="1" x14ac:dyDescent="0.3">
      <c r="A20" s="116">
        <f t="shared" si="0"/>
        <v>15</v>
      </c>
      <c r="B20" s="156" t="s">
        <v>251</v>
      </c>
      <c r="C20" s="156"/>
      <c r="D20" s="118" t="s">
        <v>241</v>
      </c>
      <c r="E20" s="118">
        <v>7</v>
      </c>
      <c r="F20" s="119"/>
      <c r="G20" s="157">
        <v>6.91</v>
      </c>
      <c r="H20" s="157"/>
      <c r="I20" s="158">
        <f t="shared" si="1"/>
        <v>48.370000000000005</v>
      </c>
      <c r="J20" s="158"/>
    </row>
    <row r="21" spans="1:11" ht="26.4" customHeight="1" x14ac:dyDescent="0.3">
      <c r="A21" s="116">
        <f t="shared" si="0"/>
        <v>16</v>
      </c>
      <c r="B21" s="156" t="s">
        <v>252</v>
      </c>
      <c r="C21" s="156"/>
      <c r="D21" s="118" t="s">
        <v>241</v>
      </c>
      <c r="E21" s="118">
        <v>15</v>
      </c>
      <c r="F21" s="119"/>
      <c r="G21" s="157">
        <v>2.25</v>
      </c>
      <c r="H21" s="157"/>
      <c r="I21" s="158">
        <f t="shared" si="1"/>
        <v>33.75</v>
      </c>
      <c r="J21" s="158"/>
    </row>
    <row r="22" spans="1:11" ht="15.6" customHeight="1" x14ac:dyDescent="0.3">
      <c r="A22" s="116">
        <f t="shared" si="0"/>
        <v>17</v>
      </c>
      <c r="B22" s="156" t="s">
        <v>253</v>
      </c>
      <c r="C22" s="156"/>
      <c r="D22" s="118" t="s">
        <v>241</v>
      </c>
      <c r="E22" s="118">
        <v>10</v>
      </c>
      <c r="F22" s="119"/>
      <c r="G22" s="157">
        <v>3.12</v>
      </c>
      <c r="H22" s="157"/>
      <c r="I22" s="158">
        <f t="shared" si="1"/>
        <v>31.200000000000003</v>
      </c>
      <c r="J22" s="158"/>
    </row>
    <row r="23" spans="1:11" ht="18.600000000000001" customHeight="1" x14ac:dyDescent="0.3">
      <c r="A23" s="116">
        <f t="shared" si="0"/>
        <v>18</v>
      </c>
      <c r="B23" s="156" t="s">
        <v>254</v>
      </c>
      <c r="C23" s="156"/>
      <c r="D23" s="118" t="s">
        <v>255</v>
      </c>
      <c r="E23" s="118">
        <v>24</v>
      </c>
      <c r="F23" s="119"/>
      <c r="G23" s="157">
        <v>1.97</v>
      </c>
      <c r="H23" s="157"/>
      <c r="I23" s="158">
        <f t="shared" si="1"/>
        <v>47.28</v>
      </c>
      <c r="J23" s="158"/>
    </row>
    <row r="24" spans="1:11" ht="30.6" customHeight="1" x14ac:dyDescent="0.3">
      <c r="A24" s="116">
        <f t="shared" si="0"/>
        <v>19</v>
      </c>
      <c r="B24" s="156" t="s">
        <v>256</v>
      </c>
      <c r="C24" s="156"/>
      <c r="D24" s="118" t="s">
        <v>257</v>
      </c>
      <c r="E24" s="118">
        <v>7</v>
      </c>
      <c r="F24" s="119"/>
      <c r="G24" s="157">
        <v>18.2</v>
      </c>
      <c r="H24" s="157"/>
      <c r="I24" s="158">
        <f t="shared" si="1"/>
        <v>127.39999999999999</v>
      </c>
      <c r="J24" s="158"/>
    </row>
    <row r="25" spans="1:11" ht="35.4" customHeight="1" x14ac:dyDescent="0.3">
      <c r="A25" s="116">
        <f t="shared" si="0"/>
        <v>20</v>
      </c>
      <c r="B25" s="156" t="s">
        <v>326</v>
      </c>
      <c r="C25" s="156"/>
      <c r="D25" s="118" t="s">
        <v>258</v>
      </c>
      <c r="E25" s="118">
        <v>4</v>
      </c>
      <c r="F25" s="119"/>
      <c r="G25" s="157">
        <v>26</v>
      </c>
      <c r="H25" s="157"/>
      <c r="I25" s="158">
        <f t="shared" si="1"/>
        <v>104</v>
      </c>
      <c r="J25" s="158"/>
    </row>
    <row r="26" spans="1:11" ht="35.4" customHeight="1" x14ac:dyDescent="0.3">
      <c r="A26" s="116">
        <f t="shared" si="0"/>
        <v>21</v>
      </c>
      <c r="B26" s="156" t="s">
        <v>331</v>
      </c>
      <c r="C26" s="156"/>
      <c r="D26" s="118" t="s">
        <v>258</v>
      </c>
      <c r="E26" s="118">
        <v>4</v>
      </c>
      <c r="F26" s="119"/>
      <c r="G26" s="157">
        <v>10.5</v>
      </c>
      <c r="H26" s="157"/>
      <c r="I26" s="158">
        <f t="shared" si="1"/>
        <v>42</v>
      </c>
      <c r="J26" s="158"/>
    </row>
    <row r="27" spans="1:11" ht="35.4" customHeight="1" x14ac:dyDescent="0.3">
      <c r="A27" s="116">
        <f t="shared" si="0"/>
        <v>22</v>
      </c>
      <c r="B27" s="156" t="s">
        <v>327</v>
      </c>
      <c r="C27" s="156"/>
      <c r="D27" s="118" t="s">
        <v>258</v>
      </c>
      <c r="E27" s="118">
        <v>4</v>
      </c>
      <c r="F27" s="119"/>
      <c r="G27" s="157">
        <v>38</v>
      </c>
      <c r="H27" s="157"/>
      <c r="I27" s="158">
        <f t="shared" si="1"/>
        <v>152</v>
      </c>
      <c r="J27" s="158"/>
    </row>
    <row r="28" spans="1:11" ht="26.4" customHeight="1" x14ac:dyDescent="0.3">
      <c r="A28" s="116">
        <f t="shared" si="0"/>
        <v>23</v>
      </c>
      <c r="B28" s="156" t="s">
        <v>259</v>
      </c>
      <c r="C28" s="156"/>
      <c r="D28" s="118" t="s">
        <v>241</v>
      </c>
      <c r="E28" s="117">
        <v>10</v>
      </c>
      <c r="F28" s="123"/>
      <c r="G28" s="157">
        <v>7.7</v>
      </c>
      <c r="H28" s="157"/>
      <c r="I28" s="158">
        <f t="shared" si="1"/>
        <v>77</v>
      </c>
      <c r="J28" s="158"/>
      <c r="K28" s="112"/>
    </row>
    <row r="29" spans="1:11" ht="29.4" customHeight="1" x14ac:dyDescent="0.3">
      <c r="A29" s="116">
        <f t="shared" si="0"/>
        <v>24</v>
      </c>
      <c r="B29" s="156" t="s">
        <v>260</v>
      </c>
      <c r="C29" s="156"/>
      <c r="D29" s="118" t="s">
        <v>241</v>
      </c>
      <c r="E29" s="117">
        <v>10</v>
      </c>
      <c r="F29" s="123"/>
      <c r="G29" s="157">
        <v>8.81</v>
      </c>
      <c r="H29" s="157"/>
      <c r="I29" s="158">
        <f t="shared" si="1"/>
        <v>88.100000000000009</v>
      </c>
      <c r="J29" s="158"/>
      <c r="K29" s="112"/>
    </row>
    <row r="30" spans="1:11" ht="29.4" customHeight="1" x14ac:dyDescent="0.3">
      <c r="A30" s="116">
        <f t="shared" si="0"/>
        <v>25</v>
      </c>
      <c r="B30" s="156" t="s">
        <v>261</v>
      </c>
      <c r="C30" s="156"/>
      <c r="D30" s="118" t="s">
        <v>241</v>
      </c>
      <c r="E30" s="117">
        <v>6</v>
      </c>
      <c r="F30" s="123"/>
      <c r="G30" s="157">
        <v>6.68</v>
      </c>
      <c r="H30" s="157"/>
      <c r="I30" s="158">
        <f t="shared" si="1"/>
        <v>40.08</v>
      </c>
      <c r="J30" s="158"/>
      <c r="K30" s="112"/>
    </row>
    <row r="31" spans="1:11" ht="29.4" customHeight="1" x14ac:dyDescent="0.3">
      <c r="A31" s="116">
        <f t="shared" si="0"/>
        <v>26</v>
      </c>
      <c r="B31" s="156" t="s">
        <v>262</v>
      </c>
      <c r="C31" s="156"/>
      <c r="D31" s="118" t="s">
        <v>241</v>
      </c>
      <c r="E31" s="117">
        <v>10</v>
      </c>
      <c r="F31" s="123"/>
      <c r="G31" s="157">
        <v>2.42</v>
      </c>
      <c r="H31" s="157"/>
      <c r="I31" s="158">
        <f t="shared" si="1"/>
        <v>24.2</v>
      </c>
      <c r="J31" s="158"/>
      <c r="K31" s="112"/>
    </row>
    <row r="32" spans="1:11" ht="15.6" customHeight="1" thickTop="1" thickBot="1" x14ac:dyDescent="0.35">
      <c r="A32" s="116">
        <f t="shared" si="0"/>
        <v>27</v>
      </c>
      <c r="B32" s="156" t="s">
        <v>263</v>
      </c>
      <c r="C32" s="156"/>
      <c r="D32" s="118" t="s">
        <v>241</v>
      </c>
      <c r="E32" s="117">
        <v>10</v>
      </c>
      <c r="F32" s="123"/>
      <c r="G32" s="157">
        <v>13.65</v>
      </c>
      <c r="H32" s="157"/>
      <c r="I32" s="158">
        <f t="shared" si="1"/>
        <v>136.5</v>
      </c>
      <c r="J32" s="158"/>
      <c r="K32" s="112"/>
    </row>
    <row r="33" spans="1:11" ht="15.6" customHeight="1" thickTop="1" thickBot="1" x14ac:dyDescent="0.35">
      <c r="A33" s="116">
        <v>28</v>
      </c>
      <c r="B33" s="191" t="s">
        <v>332</v>
      </c>
      <c r="C33" s="192"/>
      <c r="D33" s="118" t="s">
        <v>241</v>
      </c>
      <c r="E33" s="117">
        <v>2</v>
      </c>
      <c r="F33" s="123"/>
      <c r="G33" s="193">
        <v>10</v>
      </c>
      <c r="H33" s="194"/>
      <c r="I33" s="195">
        <f t="shared" ref="I33" si="2">(E33*G33)</f>
        <v>20</v>
      </c>
      <c r="J33" s="196"/>
      <c r="K33" s="112"/>
    </row>
    <row r="34" spans="1:11" ht="27.6" customHeight="1" thickTop="1" thickBot="1" x14ac:dyDescent="0.35">
      <c r="A34" s="116">
        <f t="shared" si="0"/>
        <v>29</v>
      </c>
      <c r="B34" s="156" t="s">
        <v>330</v>
      </c>
      <c r="C34" s="156"/>
      <c r="D34" s="118" t="s">
        <v>241</v>
      </c>
      <c r="E34" s="117">
        <v>24</v>
      </c>
      <c r="F34" s="123"/>
      <c r="G34" s="157">
        <v>2.72</v>
      </c>
      <c r="H34" s="157"/>
      <c r="I34" s="158">
        <f t="shared" si="1"/>
        <v>65.28</v>
      </c>
      <c r="J34" s="158"/>
      <c r="K34" s="112"/>
    </row>
    <row r="35" spans="1:11" ht="27" customHeight="1" x14ac:dyDescent="0.3">
      <c r="A35" s="116">
        <f t="shared" si="0"/>
        <v>30</v>
      </c>
      <c r="B35" s="156" t="s">
        <v>264</v>
      </c>
      <c r="C35" s="156"/>
      <c r="D35" s="118" t="s">
        <v>241</v>
      </c>
      <c r="E35" s="117">
        <v>10</v>
      </c>
      <c r="F35" s="123"/>
      <c r="G35" s="157">
        <v>6.5</v>
      </c>
      <c r="H35" s="157"/>
      <c r="I35" s="158">
        <f t="shared" si="1"/>
        <v>65</v>
      </c>
      <c r="J35" s="158"/>
      <c r="K35" s="112"/>
    </row>
    <row r="36" spans="1:11" ht="26.4" customHeight="1" x14ac:dyDescent="0.3">
      <c r="A36" s="116">
        <f t="shared" si="0"/>
        <v>31</v>
      </c>
      <c r="B36" s="156" t="s">
        <v>265</v>
      </c>
      <c r="C36" s="156"/>
      <c r="D36" s="118" t="s">
        <v>241</v>
      </c>
      <c r="E36" s="117">
        <v>10</v>
      </c>
      <c r="F36" s="123"/>
      <c r="G36" s="157">
        <v>8.35</v>
      </c>
      <c r="H36" s="157"/>
      <c r="I36" s="158">
        <f t="shared" si="1"/>
        <v>83.5</v>
      </c>
      <c r="J36" s="158"/>
      <c r="K36" s="112"/>
    </row>
    <row r="37" spans="1:11" ht="27.6" customHeight="1" x14ac:dyDescent="0.3">
      <c r="A37" s="116">
        <f t="shared" si="0"/>
        <v>32</v>
      </c>
      <c r="B37" s="156" t="s">
        <v>266</v>
      </c>
      <c r="C37" s="156"/>
      <c r="D37" s="118" t="s">
        <v>234</v>
      </c>
      <c r="E37" s="117">
        <v>24</v>
      </c>
      <c r="F37" s="123"/>
      <c r="G37" s="157">
        <v>2.89</v>
      </c>
      <c r="H37" s="157"/>
      <c r="I37" s="158">
        <f t="shared" si="1"/>
        <v>69.36</v>
      </c>
      <c r="J37" s="158"/>
      <c r="K37" s="112"/>
    </row>
    <row r="38" spans="1:11" ht="19.8" customHeight="1" x14ac:dyDescent="0.3">
      <c r="A38" s="124">
        <f t="shared" si="0"/>
        <v>33</v>
      </c>
      <c r="B38" s="162" t="s">
        <v>267</v>
      </c>
      <c r="C38" s="162"/>
      <c r="D38" s="126" t="s">
        <v>241</v>
      </c>
      <c r="E38" s="125">
        <v>5</v>
      </c>
      <c r="F38" s="127"/>
      <c r="G38" s="163">
        <v>3.55</v>
      </c>
      <c r="H38" s="163"/>
      <c r="I38" s="164">
        <f t="shared" si="1"/>
        <v>17.75</v>
      </c>
      <c r="J38" s="164"/>
      <c r="K38" s="112"/>
    </row>
    <row r="39" spans="1:11" x14ac:dyDescent="0.3">
      <c r="A39" s="165" t="s">
        <v>268</v>
      </c>
      <c r="B39" s="165"/>
      <c r="C39" s="165"/>
      <c r="D39" s="165"/>
      <c r="E39" s="165"/>
      <c r="F39" s="165"/>
      <c r="G39" s="165"/>
      <c r="H39" s="165"/>
      <c r="I39" s="166">
        <f>SUM(I6:I38)</f>
        <v>2598.37</v>
      </c>
      <c r="J39" s="166"/>
      <c r="K39" s="112"/>
    </row>
    <row r="40" spans="1:11" x14ac:dyDescent="0.3">
      <c r="A40" s="167" t="s">
        <v>269</v>
      </c>
      <c r="B40" s="167"/>
      <c r="C40" s="167"/>
      <c r="D40" s="167"/>
      <c r="E40" s="167"/>
      <c r="F40" s="167"/>
      <c r="G40" s="168">
        <f>ASG!C111</f>
        <v>0.08</v>
      </c>
      <c r="H40" s="168"/>
      <c r="I40" s="169">
        <f>I39*G40</f>
        <v>207.86959999999999</v>
      </c>
      <c r="J40" s="169"/>
      <c r="K40" s="112"/>
    </row>
    <row r="41" spans="1:11" x14ac:dyDescent="0.3">
      <c r="A41" s="167" t="s">
        <v>270</v>
      </c>
      <c r="B41" s="167"/>
      <c r="C41" s="167"/>
      <c r="D41" s="167"/>
      <c r="E41" s="167"/>
      <c r="F41" s="167"/>
      <c r="G41" s="170">
        <f>ASG!C112</f>
        <v>6.7900000000000002E-2</v>
      </c>
      <c r="H41" s="170"/>
      <c r="I41" s="169">
        <f>(I39+I40)*G41</f>
        <v>190.54366884000001</v>
      </c>
      <c r="J41" s="169"/>
      <c r="K41" s="112"/>
    </row>
    <row r="42" spans="1:11" x14ac:dyDescent="0.3">
      <c r="A42" s="173" t="s">
        <v>271</v>
      </c>
      <c r="B42" s="173"/>
      <c r="C42" s="173"/>
      <c r="D42" s="173"/>
      <c r="E42" s="173"/>
      <c r="F42" s="173"/>
      <c r="G42" s="174">
        <v>8.6499999999999994E-2</v>
      </c>
      <c r="H42" s="174"/>
      <c r="I42" s="175">
        <f>((I39+I40+I41)/(100%-G42)-(I39+I40+I41))</f>
        <v>283.76765490384241</v>
      </c>
      <c r="J42" s="175"/>
      <c r="K42" s="112"/>
    </row>
    <row r="43" spans="1:11" x14ac:dyDescent="0.3">
      <c r="A43" s="167" t="s">
        <v>272</v>
      </c>
      <c r="B43" s="167"/>
      <c r="C43" s="167"/>
      <c r="D43" s="167"/>
      <c r="E43" s="167"/>
      <c r="F43" s="167"/>
      <c r="G43" s="170">
        <v>0.03</v>
      </c>
      <c r="H43" s="170"/>
      <c r="I43" s="167"/>
      <c r="J43" s="167"/>
      <c r="K43" s="112"/>
    </row>
    <row r="44" spans="1:11" x14ac:dyDescent="0.3">
      <c r="A44" s="167" t="s">
        <v>273</v>
      </c>
      <c r="B44" s="167"/>
      <c r="C44" s="167"/>
      <c r="D44" s="167"/>
      <c r="E44" s="167"/>
      <c r="F44" s="167"/>
      <c r="G44" s="170">
        <v>6.4999999999999997E-3</v>
      </c>
      <c r="H44" s="170"/>
      <c r="I44" s="167"/>
      <c r="J44" s="167"/>
      <c r="K44" s="112"/>
    </row>
    <row r="45" spans="1:11" x14ac:dyDescent="0.3">
      <c r="A45" s="167" t="s">
        <v>274</v>
      </c>
      <c r="B45" s="167"/>
      <c r="C45" s="167"/>
      <c r="D45" s="167"/>
      <c r="E45" s="167"/>
      <c r="F45" s="167"/>
      <c r="G45" s="168">
        <v>0.05</v>
      </c>
      <c r="H45" s="168"/>
      <c r="I45" s="167"/>
      <c r="J45" s="167"/>
      <c r="K45" s="112"/>
    </row>
    <row r="46" spans="1:11" x14ac:dyDescent="0.3">
      <c r="A46" s="165" t="s">
        <v>275</v>
      </c>
      <c r="B46" s="165"/>
      <c r="C46" s="165"/>
      <c r="D46" s="165"/>
      <c r="E46" s="165"/>
      <c r="F46" s="165"/>
      <c r="G46" s="165"/>
      <c r="H46" s="165"/>
      <c r="I46" s="171">
        <f>I39+I40+I41+I42</f>
        <v>3280.5509237438423</v>
      </c>
      <c r="J46" s="171"/>
      <c r="K46" s="112"/>
    </row>
    <row r="47" spans="1:11" x14ac:dyDescent="0.3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</row>
    <row r="48" spans="1:11" ht="14.4" customHeight="1" x14ac:dyDescent="0.3">
      <c r="A48" s="172" t="s">
        <v>276</v>
      </c>
      <c r="B48" s="172"/>
      <c r="C48" s="172"/>
      <c r="D48" s="172"/>
      <c r="E48" s="172"/>
      <c r="F48" s="172"/>
      <c r="G48" s="172"/>
      <c r="H48" s="172"/>
      <c r="I48" s="172"/>
      <c r="J48" s="172"/>
    </row>
    <row r="49" spans="1:10" x14ac:dyDescent="0.3">
      <c r="A49" s="172"/>
      <c r="B49" s="172"/>
      <c r="C49" s="172"/>
      <c r="D49" s="172"/>
      <c r="E49" s="172"/>
      <c r="F49" s="172"/>
      <c r="G49" s="172"/>
      <c r="H49" s="172"/>
      <c r="I49" s="172"/>
      <c r="J49" s="172"/>
    </row>
    <row r="50" spans="1:10" x14ac:dyDescent="0.3">
      <c r="A50" s="172"/>
      <c r="B50" s="172"/>
      <c r="C50" s="172"/>
      <c r="D50" s="172"/>
      <c r="E50" s="172"/>
      <c r="F50" s="172"/>
      <c r="G50" s="172"/>
      <c r="H50" s="172"/>
      <c r="I50" s="172"/>
      <c r="J50" s="172"/>
    </row>
  </sheetData>
  <mergeCells count="128">
    <mergeCell ref="A45:F45"/>
    <mergeCell ref="G45:H45"/>
    <mergeCell ref="I45:J45"/>
    <mergeCell ref="A46:H46"/>
    <mergeCell ref="I46:J46"/>
    <mergeCell ref="A48:J50"/>
    <mergeCell ref="A42:F42"/>
    <mergeCell ref="G42:H42"/>
    <mergeCell ref="I42:J42"/>
    <mergeCell ref="A43:F43"/>
    <mergeCell ref="G43:H43"/>
    <mergeCell ref="I43:J43"/>
    <mergeCell ref="A44:F44"/>
    <mergeCell ref="G44:H44"/>
    <mergeCell ref="I44:J44"/>
    <mergeCell ref="B38:C38"/>
    <mergeCell ref="G38:H38"/>
    <mergeCell ref="I38:J38"/>
    <mergeCell ref="A39:H39"/>
    <mergeCell ref="I39:J39"/>
    <mergeCell ref="A40:F40"/>
    <mergeCell ref="G40:H40"/>
    <mergeCell ref="I40:J40"/>
    <mergeCell ref="A41:F41"/>
    <mergeCell ref="G41:H41"/>
    <mergeCell ref="I41:J41"/>
    <mergeCell ref="B35:C35"/>
    <mergeCell ref="G35:H35"/>
    <mergeCell ref="I35:J35"/>
    <mergeCell ref="B36:C36"/>
    <mergeCell ref="G36:H36"/>
    <mergeCell ref="I36:J36"/>
    <mergeCell ref="B37:C37"/>
    <mergeCell ref="G37:H37"/>
    <mergeCell ref="I37:J37"/>
    <mergeCell ref="B31:C31"/>
    <mergeCell ref="G31:H31"/>
    <mergeCell ref="I31:J31"/>
    <mergeCell ref="B32:C32"/>
    <mergeCell ref="G32:H32"/>
    <mergeCell ref="I32:J32"/>
    <mergeCell ref="B34:C34"/>
    <mergeCell ref="G34:H34"/>
    <mergeCell ref="I34:J34"/>
    <mergeCell ref="B33:C33"/>
    <mergeCell ref="G33:H33"/>
    <mergeCell ref="I33:J33"/>
    <mergeCell ref="B28:C28"/>
    <mergeCell ref="G28:H28"/>
    <mergeCell ref="I28:J28"/>
    <mergeCell ref="B29:C29"/>
    <mergeCell ref="G29:H29"/>
    <mergeCell ref="I29:J29"/>
    <mergeCell ref="B30:C30"/>
    <mergeCell ref="G30:H30"/>
    <mergeCell ref="I30:J30"/>
    <mergeCell ref="B25:C25"/>
    <mergeCell ref="G25:H25"/>
    <mergeCell ref="I25:J25"/>
    <mergeCell ref="B26:C26"/>
    <mergeCell ref="G26:H26"/>
    <mergeCell ref="I26:J26"/>
    <mergeCell ref="B27:C27"/>
    <mergeCell ref="G27:H27"/>
    <mergeCell ref="I27:J27"/>
    <mergeCell ref="B22:C22"/>
    <mergeCell ref="G22:H22"/>
    <mergeCell ref="I22:J22"/>
    <mergeCell ref="B23:C23"/>
    <mergeCell ref="G23:H23"/>
    <mergeCell ref="I23:J23"/>
    <mergeCell ref="B24:C24"/>
    <mergeCell ref="G24:H24"/>
    <mergeCell ref="I24:J24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A1:J1"/>
    <mergeCell ref="A2:J2"/>
    <mergeCell ref="A3:J3"/>
    <mergeCell ref="B5:C5"/>
    <mergeCell ref="G5:H5"/>
    <mergeCell ref="I5:J5"/>
    <mergeCell ref="B6:C6"/>
    <mergeCell ref="G6:H6"/>
    <mergeCell ref="I6:J6"/>
  </mergeCells>
  <pageMargins left="0.24027777777777801" right="0.5" top="0.78749999999999998" bottom="0.78749999999999998" header="0.51180555555555496" footer="0.51180555555555496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I9"/>
  <sheetViews>
    <sheetView zoomScaleNormal="100" workbookViewId="0">
      <selection activeCell="F7" sqref="F7:G7"/>
    </sheetView>
  </sheetViews>
  <sheetFormatPr defaultColWidth="8.6640625" defaultRowHeight="14.4" x14ac:dyDescent="0.3"/>
  <cols>
    <col min="3" max="3" width="24" customWidth="1"/>
    <col min="7" max="7" width="3.44140625" customWidth="1"/>
    <col min="8" max="8" width="10.33203125" customWidth="1"/>
    <col min="9" max="9" width="13.109375" customWidth="1"/>
  </cols>
  <sheetData>
    <row r="1" spans="1:9" x14ac:dyDescent="0.3">
      <c r="A1" s="152" t="s">
        <v>199</v>
      </c>
      <c r="B1" s="152"/>
      <c r="C1" s="152"/>
      <c r="D1" s="152"/>
      <c r="E1" s="152"/>
      <c r="F1" s="152"/>
      <c r="G1" s="152"/>
      <c r="H1" s="152"/>
      <c r="I1" s="152"/>
    </row>
    <row r="2" spans="1:9" x14ac:dyDescent="0.3">
      <c r="A2" s="176"/>
      <c r="B2" s="176"/>
      <c r="C2" s="176"/>
      <c r="D2" s="176"/>
      <c r="E2" s="176"/>
      <c r="F2" s="176"/>
      <c r="G2" s="176"/>
      <c r="H2" s="176"/>
      <c r="I2" s="176"/>
    </row>
    <row r="3" spans="1:9" x14ac:dyDescent="0.3">
      <c r="A3" s="154" t="s">
        <v>277</v>
      </c>
      <c r="B3" s="154"/>
      <c r="C3" s="154"/>
      <c r="D3" s="154"/>
      <c r="E3" s="154"/>
      <c r="F3" s="154"/>
      <c r="G3" s="154"/>
      <c r="H3" s="154"/>
      <c r="I3" s="154"/>
    </row>
    <row r="4" spans="1:9" x14ac:dyDescent="0.3">
      <c r="A4" s="113"/>
      <c r="B4" s="113"/>
      <c r="C4" s="113"/>
      <c r="D4" s="113"/>
      <c r="E4" s="113"/>
      <c r="F4" s="113"/>
      <c r="G4" s="113"/>
      <c r="H4" s="113"/>
      <c r="I4" s="113"/>
    </row>
    <row r="5" spans="1:9" ht="22.8" x14ac:dyDescent="0.3">
      <c r="A5" s="114" t="s">
        <v>226</v>
      </c>
      <c r="B5" s="155" t="s">
        <v>227</v>
      </c>
      <c r="C5" s="155"/>
      <c r="D5" s="115" t="s">
        <v>228</v>
      </c>
      <c r="E5" s="115" t="s">
        <v>229</v>
      </c>
      <c r="F5" s="155" t="s">
        <v>231</v>
      </c>
      <c r="G5" s="155"/>
      <c r="H5" s="155" t="s">
        <v>232</v>
      </c>
      <c r="I5" s="155"/>
    </row>
    <row r="6" spans="1:9" ht="15.6" customHeight="1" thickTop="1" thickBot="1" x14ac:dyDescent="0.35">
      <c r="A6" s="116">
        <v>1</v>
      </c>
      <c r="B6" s="156" t="s">
        <v>278</v>
      </c>
      <c r="C6" s="156"/>
      <c r="D6" s="118" t="s">
        <v>241</v>
      </c>
      <c r="E6" s="118">
        <v>4</v>
      </c>
      <c r="F6" s="177">
        <v>8.5</v>
      </c>
      <c r="G6" s="177"/>
      <c r="H6" s="177">
        <f>E6*F6</f>
        <v>34</v>
      </c>
      <c r="I6" s="177"/>
    </row>
    <row r="7" spans="1:9" ht="15.6" customHeight="1" thickTop="1" thickBot="1" x14ac:dyDescent="0.35">
      <c r="A7" s="116">
        <v>3</v>
      </c>
      <c r="B7" s="156" t="s">
        <v>279</v>
      </c>
      <c r="C7" s="156"/>
      <c r="D7" s="118" t="s">
        <v>241</v>
      </c>
      <c r="E7" s="118">
        <v>6</v>
      </c>
      <c r="F7" s="177">
        <v>5.08</v>
      </c>
      <c r="G7" s="177"/>
      <c r="H7" s="177">
        <f>E7*F7</f>
        <v>30.48</v>
      </c>
      <c r="I7" s="177"/>
    </row>
    <row r="8" spans="1:9" ht="15" thickTop="1" x14ac:dyDescent="0.3">
      <c r="F8" s="178" t="s">
        <v>4</v>
      </c>
      <c r="G8" s="178"/>
      <c r="H8" s="178"/>
      <c r="I8" s="128">
        <f>SUM(H6:I7)</f>
        <v>64.48</v>
      </c>
    </row>
    <row r="9" spans="1:9" x14ac:dyDescent="0.3">
      <c r="F9" s="178" t="s">
        <v>280</v>
      </c>
      <c r="G9" s="178"/>
      <c r="H9" s="178"/>
      <c r="I9" s="128">
        <f>I8/SIMULADOR!F4</f>
        <v>12.896000000000001</v>
      </c>
    </row>
  </sheetData>
  <mergeCells count="14">
    <mergeCell ref="B6:C6"/>
    <mergeCell ref="F6:G6"/>
    <mergeCell ref="H6:I6"/>
    <mergeCell ref="F8:H8"/>
    <mergeCell ref="F9:H9"/>
    <mergeCell ref="B7:C7"/>
    <mergeCell ref="F7:G7"/>
    <mergeCell ref="H7:I7"/>
    <mergeCell ref="A1:I1"/>
    <mergeCell ref="A2:I2"/>
    <mergeCell ref="A3:I3"/>
    <mergeCell ref="B5:C5"/>
    <mergeCell ref="F5:G5"/>
    <mergeCell ref="H5:I5"/>
  </mergeCells>
  <pageMargins left="0.51180555555555496" right="0.51180555555555496" top="0.78749999999999998" bottom="0.78749999999999998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</sheetPr>
  <dimension ref="A2:J24"/>
  <sheetViews>
    <sheetView topLeftCell="A8" zoomScaleNormal="100" workbookViewId="0">
      <selection activeCell="J24" sqref="J24"/>
    </sheetView>
  </sheetViews>
  <sheetFormatPr defaultColWidth="8.6640625" defaultRowHeight="14.4" x14ac:dyDescent="0.3"/>
  <cols>
    <col min="3" max="3" width="45.44140625" customWidth="1"/>
    <col min="10" max="10" width="9.33203125" customWidth="1"/>
  </cols>
  <sheetData>
    <row r="2" spans="1:10" x14ac:dyDescent="0.3">
      <c r="A2" s="152" t="s">
        <v>281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3">
      <c r="A3" s="176"/>
      <c r="B3" s="176"/>
      <c r="C3" s="176"/>
      <c r="D3" s="176"/>
      <c r="E3" s="176"/>
      <c r="F3" s="176"/>
      <c r="G3" s="176"/>
      <c r="H3" s="176"/>
      <c r="I3" s="176"/>
      <c r="J3" s="176"/>
    </row>
    <row r="4" spans="1:10" x14ac:dyDescent="0.3">
      <c r="A4" s="154" t="s">
        <v>282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0" x14ac:dyDescent="0.3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10" ht="22.8" x14ac:dyDescent="0.3">
      <c r="A6" s="114" t="s">
        <v>226</v>
      </c>
      <c r="B6" s="155" t="s">
        <v>227</v>
      </c>
      <c r="C6" s="155"/>
      <c r="D6" s="115" t="s">
        <v>228</v>
      </c>
      <c r="E6" s="115" t="s">
        <v>229</v>
      </c>
      <c r="F6" s="115" t="s">
        <v>283</v>
      </c>
      <c r="G6" s="155" t="s">
        <v>231</v>
      </c>
      <c r="H6" s="155"/>
      <c r="I6" s="155" t="s">
        <v>232</v>
      </c>
      <c r="J6" s="155"/>
    </row>
    <row r="7" spans="1:10" ht="69.599999999999994" customHeight="1" x14ac:dyDescent="0.3">
      <c r="A7" s="116">
        <f t="shared" ref="A7:A22" si="0">ROW()-6</f>
        <v>1</v>
      </c>
      <c r="B7" s="156" t="s">
        <v>284</v>
      </c>
      <c r="C7" s="156"/>
      <c r="D7" s="118" t="s">
        <v>241</v>
      </c>
      <c r="E7" s="118">
        <v>1</v>
      </c>
      <c r="F7" s="117">
        <v>60</v>
      </c>
      <c r="G7" s="179">
        <v>1096.8800000000001</v>
      </c>
      <c r="H7" s="179"/>
      <c r="I7" s="179">
        <f t="shared" ref="I7:I22" si="1">(G7*E7)/F7</f>
        <v>18.281333333333336</v>
      </c>
      <c r="J7" s="179"/>
    </row>
    <row r="8" spans="1:10" ht="64.2" customHeight="1" x14ac:dyDescent="0.3">
      <c r="A8" s="116">
        <f t="shared" si="0"/>
        <v>2</v>
      </c>
      <c r="B8" s="156" t="s">
        <v>285</v>
      </c>
      <c r="C8" s="156"/>
      <c r="D8" s="118" t="s">
        <v>241</v>
      </c>
      <c r="E8" s="118">
        <v>1</v>
      </c>
      <c r="F8" s="117">
        <v>36</v>
      </c>
      <c r="G8" s="179">
        <v>1055.75</v>
      </c>
      <c r="H8" s="179"/>
      <c r="I8" s="179">
        <f t="shared" si="1"/>
        <v>29.326388888888889</v>
      </c>
      <c r="J8" s="179"/>
    </row>
    <row r="9" spans="1:10" ht="15.6" customHeight="1" x14ac:dyDescent="0.3">
      <c r="A9" s="116">
        <f t="shared" si="0"/>
        <v>3</v>
      </c>
      <c r="B9" s="156" t="s">
        <v>286</v>
      </c>
      <c r="C9" s="156"/>
      <c r="D9" s="118" t="s">
        <v>241</v>
      </c>
      <c r="E9" s="118">
        <v>1</v>
      </c>
      <c r="F9" s="117">
        <v>60</v>
      </c>
      <c r="G9" s="179">
        <v>410.74</v>
      </c>
      <c r="H9" s="179"/>
      <c r="I9" s="179">
        <f t="shared" si="1"/>
        <v>6.8456666666666672</v>
      </c>
      <c r="J9" s="179"/>
    </row>
    <row r="10" spans="1:10" ht="15.6" customHeight="1" x14ac:dyDescent="0.3">
      <c r="A10" s="116">
        <f t="shared" si="0"/>
        <v>4</v>
      </c>
      <c r="B10" s="156" t="s">
        <v>287</v>
      </c>
      <c r="C10" s="156"/>
      <c r="D10" s="118" t="s">
        <v>241</v>
      </c>
      <c r="E10" s="118">
        <v>1</v>
      </c>
      <c r="F10" s="117">
        <v>60</v>
      </c>
      <c r="G10" s="179">
        <v>515.79</v>
      </c>
      <c r="H10" s="179"/>
      <c r="I10" s="179">
        <f t="shared" si="1"/>
        <v>8.5964999999999989</v>
      </c>
      <c r="J10" s="179"/>
    </row>
    <row r="11" spans="1:10" ht="15.6" customHeight="1" x14ac:dyDescent="0.3">
      <c r="A11" s="116">
        <f t="shared" si="0"/>
        <v>5</v>
      </c>
      <c r="B11" s="156" t="s">
        <v>288</v>
      </c>
      <c r="C11" s="156"/>
      <c r="D11" s="118" t="s">
        <v>241</v>
      </c>
      <c r="E11" s="118">
        <v>1</v>
      </c>
      <c r="F11" s="117">
        <v>12</v>
      </c>
      <c r="G11" s="179">
        <v>157.61000000000001</v>
      </c>
      <c r="H11" s="179"/>
      <c r="I11" s="179">
        <f t="shared" si="1"/>
        <v>13.134166666666667</v>
      </c>
      <c r="J11" s="179"/>
    </row>
    <row r="12" spans="1:10" ht="15.6" customHeight="1" x14ac:dyDescent="0.3">
      <c r="A12" s="116">
        <f t="shared" si="0"/>
        <v>6</v>
      </c>
      <c r="B12" s="156" t="s">
        <v>289</v>
      </c>
      <c r="C12" s="156"/>
      <c r="D12" s="118" t="s">
        <v>241</v>
      </c>
      <c r="E12" s="118">
        <v>1</v>
      </c>
      <c r="F12" s="117">
        <v>12</v>
      </c>
      <c r="G12" s="179">
        <v>50.21</v>
      </c>
      <c r="H12" s="179"/>
      <c r="I12" s="179">
        <f t="shared" si="1"/>
        <v>4.184166666666667</v>
      </c>
      <c r="J12" s="179"/>
    </row>
    <row r="13" spans="1:10" ht="15.6" customHeight="1" x14ac:dyDescent="0.3">
      <c r="A13" s="116">
        <f t="shared" si="0"/>
        <v>7</v>
      </c>
      <c r="B13" s="159" t="s">
        <v>290</v>
      </c>
      <c r="C13" s="159"/>
      <c r="D13" s="118" t="s">
        <v>241</v>
      </c>
      <c r="E13" s="118">
        <v>1</v>
      </c>
      <c r="F13" s="117">
        <v>12</v>
      </c>
      <c r="G13" s="179">
        <v>42.76</v>
      </c>
      <c r="H13" s="179"/>
      <c r="I13" s="179">
        <f t="shared" si="1"/>
        <v>3.563333333333333</v>
      </c>
      <c r="J13" s="179"/>
    </row>
    <row r="14" spans="1:10" ht="15.6" customHeight="1" x14ac:dyDescent="0.3">
      <c r="A14" s="116">
        <f t="shared" si="0"/>
        <v>8</v>
      </c>
      <c r="B14" s="156" t="s">
        <v>291</v>
      </c>
      <c r="C14" s="156"/>
      <c r="D14" s="118" t="s">
        <v>241</v>
      </c>
      <c r="E14" s="118">
        <v>1</v>
      </c>
      <c r="F14" s="117">
        <v>12</v>
      </c>
      <c r="G14" s="179">
        <v>168.68</v>
      </c>
      <c r="H14" s="179"/>
      <c r="I14" s="179">
        <f t="shared" si="1"/>
        <v>14.056666666666667</v>
      </c>
      <c r="J14" s="179"/>
    </row>
    <row r="15" spans="1:10" ht="15.6" customHeight="1" x14ac:dyDescent="0.3">
      <c r="A15" s="116">
        <f t="shared" si="0"/>
        <v>9</v>
      </c>
      <c r="B15" s="156" t="s">
        <v>292</v>
      </c>
      <c r="C15" s="156"/>
      <c r="D15" s="118" t="s">
        <v>241</v>
      </c>
      <c r="E15" s="118">
        <v>1</v>
      </c>
      <c r="F15" s="117">
        <v>12</v>
      </c>
      <c r="G15" s="179">
        <v>193.19</v>
      </c>
      <c r="H15" s="179"/>
      <c r="I15" s="179">
        <f t="shared" si="1"/>
        <v>16.099166666666665</v>
      </c>
      <c r="J15" s="179"/>
    </row>
    <row r="16" spans="1:10" ht="15.6" customHeight="1" x14ac:dyDescent="0.3">
      <c r="A16" s="116">
        <f t="shared" si="0"/>
        <v>10</v>
      </c>
      <c r="B16" s="156" t="s">
        <v>293</v>
      </c>
      <c r="C16" s="156"/>
      <c r="D16" s="118" t="s">
        <v>241</v>
      </c>
      <c r="E16" s="118">
        <v>1</v>
      </c>
      <c r="F16" s="117">
        <v>12</v>
      </c>
      <c r="G16" s="179">
        <v>29.76</v>
      </c>
      <c r="H16" s="179"/>
      <c r="I16" s="179">
        <f t="shared" si="1"/>
        <v>2.48</v>
      </c>
      <c r="J16" s="179"/>
    </row>
    <row r="17" spans="1:10" ht="15.6" customHeight="1" x14ac:dyDescent="0.3">
      <c r="A17" s="116">
        <f t="shared" si="0"/>
        <v>11</v>
      </c>
      <c r="B17" s="156" t="s">
        <v>294</v>
      </c>
      <c r="C17" s="156"/>
      <c r="D17" s="118" t="s">
        <v>241</v>
      </c>
      <c r="E17" s="118">
        <v>1</v>
      </c>
      <c r="F17" s="117">
        <v>24</v>
      </c>
      <c r="G17" s="179">
        <v>297.38</v>
      </c>
      <c r="H17" s="179"/>
      <c r="I17" s="179">
        <f t="shared" si="1"/>
        <v>12.390833333333333</v>
      </c>
      <c r="J17" s="179"/>
    </row>
    <row r="18" spans="1:10" ht="15.6" customHeight="1" x14ac:dyDescent="0.3">
      <c r="A18" s="116">
        <f t="shared" si="0"/>
        <v>12</v>
      </c>
      <c r="B18" s="160" t="s">
        <v>295</v>
      </c>
      <c r="C18" s="160"/>
      <c r="D18" s="121" t="s">
        <v>241</v>
      </c>
      <c r="E18" s="121">
        <v>1</v>
      </c>
      <c r="F18" s="120">
        <v>12</v>
      </c>
      <c r="G18" s="180">
        <v>38.57</v>
      </c>
      <c r="H18" s="180"/>
      <c r="I18" s="179">
        <f t="shared" si="1"/>
        <v>3.2141666666666668</v>
      </c>
      <c r="J18" s="179"/>
    </row>
    <row r="19" spans="1:10" ht="15.6" customHeight="1" x14ac:dyDescent="0.3">
      <c r="A19" s="116">
        <f t="shared" si="0"/>
        <v>13</v>
      </c>
      <c r="B19" s="156" t="s">
        <v>296</v>
      </c>
      <c r="C19" s="156"/>
      <c r="D19" s="118" t="s">
        <v>241</v>
      </c>
      <c r="E19" s="118">
        <v>1</v>
      </c>
      <c r="F19" s="117">
        <v>12</v>
      </c>
      <c r="G19" s="179">
        <v>32.17</v>
      </c>
      <c r="H19" s="179"/>
      <c r="I19" s="179">
        <f t="shared" si="1"/>
        <v>2.6808333333333336</v>
      </c>
      <c r="J19" s="179"/>
    </row>
    <row r="20" spans="1:10" ht="15.6" customHeight="1" x14ac:dyDescent="0.3">
      <c r="A20" s="116">
        <f t="shared" si="0"/>
        <v>14</v>
      </c>
      <c r="B20" s="156" t="s">
        <v>297</v>
      </c>
      <c r="C20" s="156"/>
      <c r="D20" s="118" t="s">
        <v>241</v>
      </c>
      <c r="E20" s="118">
        <v>1</v>
      </c>
      <c r="F20" s="117">
        <v>6</v>
      </c>
      <c r="G20" s="179">
        <v>130.94999999999999</v>
      </c>
      <c r="H20" s="179"/>
      <c r="I20" s="179">
        <f t="shared" si="1"/>
        <v>21.824999999999999</v>
      </c>
      <c r="J20" s="179"/>
    </row>
    <row r="21" spans="1:10" ht="15.6" customHeight="1" x14ac:dyDescent="0.3">
      <c r="A21" s="116">
        <f t="shared" si="0"/>
        <v>15</v>
      </c>
      <c r="B21" s="156" t="s">
        <v>298</v>
      </c>
      <c r="C21" s="156"/>
      <c r="D21" s="118" t="s">
        <v>241</v>
      </c>
      <c r="E21" s="118">
        <v>2</v>
      </c>
      <c r="F21" s="117">
        <v>36</v>
      </c>
      <c r="G21" s="179">
        <v>1040</v>
      </c>
      <c r="H21" s="179"/>
      <c r="I21" s="179">
        <f t="shared" si="1"/>
        <v>57.777777777777779</v>
      </c>
      <c r="J21" s="179"/>
    </row>
    <row r="22" spans="1:10" ht="15.6" customHeight="1" x14ac:dyDescent="0.3">
      <c r="A22" s="116">
        <f t="shared" si="0"/>
        <v>16</v>
      </c>
      <c r="B22" s="156" t="s">
        <v>299</v>
      </c>
      <c r="C22" s="156"/>
      <c r="D22" s="118" t="s">
        <v>241</v>
      </c>
      <c r="E22" s="118">
        <v>2</v>
      </c>
      <c r="F22" s="117">
        <v>36</v>
      </c>
      <c r="G22" s="181">
        <v>456</v>
      </c>
      <c r="H22" s="181"/>
      <c r="I22" s="181">
        <f t="shared" si="1"/>
        <v>25.333333333333332</v>
      </c>
      <c r="J22" s="181"/>
    </row>
    <row r="23" spans="1:10" x14ac:dyDescent="0.3">
      <c r="G23" s="178" t="s">
        <v>4</v>
      </c>
      <c r="H23" s="178"/>
      <c r="I23" s="178"/>
      <c r="J23" s="129">
        <f>SUM(I7:J22)</f>
        <v>239.78933333333333</v>
      </c>
    </row>
    <row r="24" spans="1:10" x14ac:dyDescent="0.3">
      <c r="G24" s="178" t="s">
        <v>280</v>
      </c>
      <c r="H24" s="178"/>
      <c r="I24" s="178"/>
      <c r="J24" s="129">
        <f>J23/SIMULADOR!F4</f>
        <v>47.957866666666668</v>
      </c>
    </row>
  </sheetData>
  <mergeCells count="56">
    <mergeCell ref="G23:I23"/>
    <mergeCell ref="G24:I24"/>
    <mergeCell ref="B21:C21"/>
    <mergeCell ref="G21:H21"/>
    <mergeCell ref="I21:J21"/>
    <mergeCell ref="B22:C22"/>
    <mergeCell ref="G22:H22"/>
    <mergeCell ref="I22:J22"/>
    <mergeCell ref="B19:C19"/>
    <mergeCell ref="G19:H19"/>
    <mergeCell ref="I19:J19"/>
    <mergeCell ref="B20:C20"/>
    <mergeCell ref="G20:H20"/>
    <mergeCell ref="I20:J20"/>
    <mergeCell ref="B17:C17"/>
    <mergeCell ref="G17:H17"/>
    <mergeCell ref="I17:J17"/>
    <mergeCell ref="B18:C18"/>
    <mergeCell ref="G18:H18"/>
    <mergeCell ref="I18:J18"/>
    <mergeCell ref="B15:C15"/>
    <mergeCell ref="G15:H15"/>
    <mergeCell ref="I15:J15"/>
    <mergeCell ref="B16:C16"/>
    <mergeCell ref="G16:H16"/>
    <mergeCell ref="I16:J16"/>
    <mergeCell ref="B13:C13"/>
    <mergeCell ref="G13:H13"/>
    <mergeCell ref="I13:J13"/>
    <mergeCell ref="B14:C14"/>
    <mergeCell ref="G14:H14"/>
    <mergeCell ref="I14:J14"/>
    <mergeCell ref="B11:C11"/>
    <mergeCell ref="G11:H11"/>
    <mergeCell ref="I11:J11"/>
    <mergeCell ref="B12:C12"/>
    <mergeCell ref="G12:H12"/>
    <mergeCell ref="I12:J12"/>
    <mergeCell ref="B9:C9"/>
    <mergeCell ref="G9:H9"/>
    <mergeCell ref="I9:J9"/>
    <mergeCell ref="B10:C10"/>
    <mergeCell ref="G10:H10"/>
    <mergeCell ref="I10:J10"/>
    <mergeCell ref="B7:C7"/>
    <mergeCell ref="G7:H7"/>
    <mergeCell ref="I7:J7"/>
    <mergeCell ref="B8:C8"/>
    <mergeCell ref="G8:H8"/>
    <mergeCell ref="I8:J8"/>
    <mergeCell ref="A2:J2"/>
    <mergeCell ref="A3:J3"/>
    <mergeCell ref="A4:J4"/>
    <mergeCell ref="B6:C6"/>
    <mergeCell ref="G6:H6"/>
    <mergeCell ref="I6:J6"/>
  </mergeCells>
  <pageMargins left="0.51180555555555496" right="0.51180555555555496" top="0.50972222222222197" bottom="0.78749999999999998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4</vt:i4>
      </vt:variant>
    </vt:vector>
  </HeadingPairs>
  <TitlesOfParts>
    <vt:vector size="15" baseType="lpstr">
      <vt:lpstr>Planilha1</vt:lpstr>
      <vt:lpstr>SIMULADOR</vt:lpstr>
      <vt:lpstr>ENCARREGADO</vt:lpstr>
      <vt:lpstr>ASG</vt:lpstr>
      <vt:lpstr>COPEIRA</vt:lpstr>
      <vt:lpstr>UNIFORME</vt:lpstr>
      <vt:lpstr>MATERIAL</vt:lpstr>
      <vt:lpstr>EPI</vt:lpstr>
      <vt:lpstr>EQUIPAMENTOS</vt:lpstr>
      <vt:lpstr>INSUMOS COPA</vt:lpstr>
      <vt:lpstr>RESUMO DA PROPOSTA</vt:lpstr>
      <vt:lpstr>ASG!Area_de_impressao</vt:lpstr>
      <vt:lpstr>COPEIRA!Area_de_impressao</vt:lpstr>
      <vt:lpstr>ENCARREGADO!Area_de_impressao</vt:lpstr>
      <vt:lpstr>SIMULADOR!Area_de_impressao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CTI</dc:creator>
  <dc:description/>
  <cp:lastModifiedBy>Mônica Almeida</cp:lastModifiedBy>
  <cp:revision>2</cp:revision>
  <cp:lastPrinted>2022-09-26T17:51:56Z</cp:lastPrinted>
  <dcterms:created xsi:type="dcterms:W3CDTF">2017-06-12T19:52:20Z</dcterms:created>
  <dcterms:modified xsi:type="dcterms:W3CDTF">2025-01-14T16:55:56Z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